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tabRatio="851" activeTab="0"/>
  </bookViews>
  <sheets>
    <sheet name="реализ. услуг по-месячно тепло" sheetId="1" r:id="rId1"/>
    <sheet name="реализ.по-месячно вода" sheetId="2" r:id="rId2"/>
    <sheet name="вода-транспортировка" sheetId="3" r:id="rId3"/>
    <sheet name="Смета затрат ТЕПЛО" sheetId="4" r:id="rId4"/>
    <sheet name="Смета затрат ВОДА" sheetId="5" r:id="rId5"/>
    <sheet name="Уголь" sheetId="6" r:id="rId6"/>
    <sheet name="эл.энергия (тепло)" sheetId="7" r:id="rId7"/>
    <sheet name="эл.энергия  (ХВС)" sheetId="8" r:id="rId8"/>
    <sheet name="ээнергия реестр сч.фактур" sheetId="9" r:id="rId9"/>
    <sheet name="ФЗП  тепло" sheetId="10" r:id="rId10"/>
    <sheet name="ФЗП  вода" sheetId="11" r:id="rId11"/>
    <sheet name="амортизация" sheetId="12" r:id="rId12"/>
    <sheet name="ремонты" sheetId="13" r:id="rId13"/>
    <sheet name="цехов. расходы тепло " sheetId="14" r:id="rId14"/>
    <sheet name="цехов. расходы  вода" sheetId="15" r:id="rId15"/>
    <sheet name="общехоз. расходы" sheetId="16" r:id="rId16"/>
    <sheet name="использование прибыли" sheetId="17" r:id="rId17"/>
    <sheet name="Дт задолж." sheetId="18" r:id="rId18"/>
    <sheet name="Кт задолж." sheetId="19" r:id="rId19"/>
    <sheet name="Доходы предприятия- тепло" sheetId="20" r:id="rId20"/>
    <sheet name="Доходы предприятия -вода" sheetId="21" r:id="rId21"/>
    <sheet name="Взыскание Дт задолж." sheetId="22" r:id="rId22"/>
  </sheets>
  <externalReferences>
    <externalReference r:id="rId25"/>
  </externalReferences>
  <definedNames>
    <definedName name="TEMPLATE_CLAIM">'[1]TECHSHEET'!$E$34</definedName>
    <definedName name="_xlnm.Print_Titles" localSheetId="3">'Смета затрат ТЕПЛО'!$8:$9</definedName>
    <definedName name="_xlnm.Print_Area" localSheetId="17">'Дт задолж.'!$A$1:$P$24</definedName>
    <definedName name="_xlnm.Print_Area" localSheetId="7">'эл.энергия  (ХВС)'!$A$1:$E$87</definedName>
    <definedName name="_xlnm.Print_Area" localSheetId="6">'эл.энергия (тепло)'!$A$1:$E$86</definedName>
  </definedNames>
  <calcPr fullCalcOnLoad="1"/>
</workbook>
</file>

<file path=xl/comments5.xml><?xml version="1.0" encoding="utf-8"?>
<comments xmlns="http://schemas.openxmlformats.org/spreadsheetml/2006/main">
  <authors>
    <author>Арина</author>
  </authors>
  <commentList>
    <comment ref="D41" authorId="0">
      <text>
        <r>
          <rPr>
            <sz val="8"/>
            <rFont val="Tahoma"/>
            <family val="2"/>
          </rPr>
          <t xml:space="preserve">водный налог
</t>
        </r>
      </text>
    </comment>
  </commentList>
</comments>
</file>

<file path=xl/sharedStrings.xml><?xml version="1.0" encoding="utf-8"?>
<sst xmlns="http://schemas.openxmlformats.org/spreadsheetml/2006/main" count="1417" uniqueCount="661">
  <si>
    <t xml:space="preserve">Реестр сч/фактур по углю </t>
  </si>
  <si>
    <t>Вид</t>
  </si>
  <si>
    <t>(марка)</t>
  </si>
  <si>
    <t>(тыс.тн)</t>
  </si>
  <si>
    <t>Всего</t>
  </si>
  <si>
    <t>цена без</t>
  </si>
  <si>
    <t>доставки</t>
  </si>
  <si>
    <t>доставка</t>
  </si>
  <si>
    <t xml:space="preserve">Затраты на </t>
  </si>
  <si>
    <t>приобретение</t>
  </si>
  <si>
    <t>топлива (тыс.руб.)</t>
  </si>
  <si>
    <t>(тыс.руб.)</t>
  </si>
  <si>
    <t>Уровень</t>
  </si>
  <si>
    <t xml:space="preserve">сбытовой </t>
  </si>
  <si>
    <t>организации</t>
  </si>
  <si>
    <t>(тыс.кВт.ч)</t>
  </si>
  <si>
    <t>Наименование</t>
  </si>
  <si>
    <t>План</t>
  </si>
  <si>
    <t>Факт</t>
  </si>
  <si>
    <t>Показатели</t>
  </si>
  <si>
    <t xml:space="preserve">  - федеральный бюджет</t>
  </si>
  <si>
    <t xml:space="preserve">  - республиканский бюджет</t>
  </si>
  <si>
    <t xml:space="preserve">  - местный бюджет</t>
  </si>
  <si>
    <t>№ п/п</t>
  </si>
  <si>
    <t>№</t>
  </si>
  <si>
    <t>сч/фактуры</t>
  </si>
  <si>
    <t>дата</t>
  </si>
  <si>
    <t>организации-</t>
  </si>
  <si>
    <t>поставщика</t>
  </si>
  <si>
    <t>угля</t>
  </si>
  <si>
    <t>Кол-во  угля</t>
  </si>
  <si>
    <t>Цена угля  (руб./тн)</t>
  </si>
  <si>
    <t xml:space="preserve">Кол-во  </t>
  </si>
  <si>
    <t>электроэнергии</t>
  </si>
  <si>
    <t>напряжения</t>
  </si>
  <si>
    <t>Цена</t>
  </si>
  <si>
    <t>(руб./кВт.ч)</t>
  </si>
  <si>
    <t xml:space="preserve"> (тыс.руб.)</t>
  </si>
  <si>
    <t>Средняя цена угля (руб./тн)</t>
  </si>
  <si>
    <t>Сумма затрат по</t>
  </si>
  <si>
    <t xml:space="preserve">Информация по Кт задолженности предприятия </t>
  </si>
  <si>
    <t xml:space="preserve"> в т.ч.:</t>
  </si>
  <si>
    <t>Дебиторы</t>
  </si>
  <si>
    <t>Кредиторы</t>
  </si>
  <si>
    <t>Приложение № 4</t>
  </si>
  <si>
    <t>Приложение № 5</t>
  </si>
  <si>
    <t>(без НДС)</t>
  </si>
  <si>
    <t>Откл. (+,-)</t>
  </si>
  <si>
    <t>Статьи затрат</t>
  </si>
  <si>
    <t>Объем (тыс.м3)</t>
  </si>
  <si>
    <t>Тариф (руб./м3)</t>
  </si>
  <si>
    <t>Численность (чел.)</t>
  </si>
  <si>
    <t>Средняя з/плата (руб.)</t>
  </si>
  <si>
    <t>ЕСН</t>
  </si>
  <si>
    <t>Амортизация</t>
  </si>
  <si>
    <t>Арендная плата</t>
  </si>
  <si>
    <t>Электроэнергия</t>
  </si>
  <si>
    <t>объем (тыс.кВт.ч)</t>
  </si>
  <si>
    <t>тариф (руб./кВт.ч.)</t>
  </si>
  <si>
    <t>Тек.и кап.ремонт</t>
  </si>
  <si>
    <t>Сумма дотаций, в т.ч.:</t>
  </si>
  <si>
    <t xml:space="preserve">  - дотация за э/э</t>
  </si>
  <si>
    <t>прибыль на развитие производства</t>
  </si>
  <si>
    <t>прибыль на социальное развитие</t>
  </si>
  <si>
    <t>налоги, сборы, платежи</t>
  </si>
  <si>
    <t>Финансовый результат</t>
  </si>
  <si>
    <t>Наименование предприятия</t>
  </si>
  <si>
    <t xml:space="preserve">Категории </t>
  </si>
  <si>
    <t>потребителей</t>
  </si>
  <si>
    <t>1. Население</t>
  </si>
  <si>
    <t>2. Бюджет, в т.ч.:</t>
  </si>
  <si>
    <t>Откл.</t>
  </si>
  <si>
    <t>(+; -)</t>
  </si>
  <si>
    <t>Итого:</t>
  </si>
  <si>
    <t>Поднято воды</t>
  </si>
  <si>
    <t>Расход на собственные нужды</t>
  </si>
  <si>
    <t>Получено воды со стороны</t>
  </si>
  <si>
    <t>Потери воды</t>
  </si>
  <si>
    <t>Подано воды в сеть</t>
  </si>
  <si>
    <t>% потерь к объему воды, поданой в сеть</t>
  </si>
  <si>
    <t>Объем реализации, всего -</t>
  </si>
  <si>
    <t xml:space="preserve">                           бюджетным учреждениям</t>
  </si>
  <si>
    <t>I. Натуральные показатели (тыс. м3)</t>
  </si>
  <si>
    <t>Материалы (химреагенты)</t>
  </si>
  <si>
    <t>Цена с доставкой (руб./тн)</t>
  </si>
  <si>
    <t>Объем (т)</t>
  </si>
  <si>
    <t>Вода покупная</t>
  </si>
  <si>
    <t>Цеховые  расходы</t>
  </si>
  <si>
    <t>II. Планируемые расходы ( тыс. руб.)</t>
  </si>
  <si>
    <t>Прочие прямые расходы</t>
  </si>
  <si>
    <t xml:space="preserve">  - дотация за разницу в тарифах </t>
  </si>
  <si>
    <t xml:space="preserve"> III. Внереализационные расходы</t>
  </si>
  <si>
    <t>в т.ч.:</t>
  </si>
  <si>
    <t xml:space="preserve">1.1. Прямые расходы - всего,  </t>
  </si>
  <si>
    <t>1.2. Косвенные (прочие) расходы</t>
  </si>
  <si>
    <t>Всего финансовые потребности по реализации производственной программы</t>
  </si>
  <si>
    <t>ФОТ основных  рабочих</t>
  </si>
  <si>
    <t>(ВН, СН1, СН2, НН)</t>
  </si>
  <si>
    <t>Доходы всего</t>
  </si>
  <si>
    <t xml:space="preserve">Информация по Дт задолженности предприятия </t>
  </si>
  <si>
    <t xml:space="preserve">  - федерального бюджета</t>
  </si>
  <si>
    <t xml:space="preserve">  - республиканского бюджета</t>
  </si>
  <si>
    <t xml:space="preserve">  - местного бюджета</t>
  </si>
  <si>
    <t xml:space="preserve"> 2. Население</t>
  </si>
  <si>
    <t xml:space="preserve"> 3. Прочие потребители </t>
  </si>
  <si>
    <t>1. Дебиторская задолженность бюджетов всех уровней - всего</t>
  </si>
  <si>
    <t xml:space="preserve"> в том числе по налогам</t>
  </si>
  <si>
    <t>2. Заработная плата</t>
  </si>
  <si>
    <t>3.  Покупка э/энергии</t>
  </si>
  <si>
    <t>4.  Покупка угля</t>
  </si>
  <si>
    <t>5. Покупка воды (стоков)</t>
  </si>
  <si>
    <t>6. Работы и  услуги производственного характера</t>
  </si>
  <si>
    <t>7. Прочее</t>
  </si>
  <si>
    <t>Средняя цена по электроэнергии (руб./кВт.ч)</t>
  </si>
  <si>
    <t xml:space="preserve">3. Прочие потребители </t>
  </si>
  <si>
    <t>Итого</t>
  </si>
  <si>
    <t>2.1</t>
  </si>
  <si>
    <t>2.2</t>
  </si>
  <si>
    <t>Справочно: среднемесячная оплата труда в целом по организации (руб.)</t>
  </si>
  <si>
    <t>Справочно: численность персонала в целом по организации, ед.</t>
  </si>
  <si>
    <t>Минимальный размер оплаты труда в целом по организации, руб./мес.</t>
  </si>
  <si>
    <t>среднемесячная оплата труда основных производственных рабочих (руб.)</t>
  </si>
  <si>
    <t>численность основного производственного персонала, относимого на регулируемый вид деятельности, ед.</t>
  </si>
  <si>
    <t>Тарифная ставка рабочего 1-го разряда, руб./мес.</t>
  </si>
  <si>
    <t>Базовая тарифная ставка рабочего 1-го разряда, руб./мес.</t>
  </si>
  <si>
    <t>Минимальная тарифная ставка рабочего 1-го разряда, руб./мес.</t>
  </si>
  <si>
    <t>оплата труда ремонтного персонала</t>
  </si>
  <si>
    <t>среднемесячная оплата труда ремонтного персонала (руб.)</t>
  </si>
  <si>
    <t>численность ремонтного персонала, относимого на регулируемый вид деятельности, ед.</t>
  </si>
  <si>
    <t>оплата труда цехового персонала</t>
  </si>
  <si>
    <t>среднемесячная оплата труда цехового персонала (руб.)</t>
  </si>
  <si>
    <t>численность цехового персонала, относимого на регулируемый вид деятельности, ед.</t>
  </si>
  <si>
    <t>среднемесячная оплата труда АУП (руб.)</t>
  </si>
  <si>
    <t>численность АУП, относимого на регулируемый вид деятельности, ед.</t>
  </si>
  <si>
    <t>заработная плата прочего персонала, относимого на регулируемый вид деятельности</t>
  </si>
  <si>
    <t>среднемесячная оплата труда прочего персонала, относимого на регулируемый вид деятельности (руб.)</t>
  </si>
  <si>
    <t>численность прочего персонала, относимого на регулируемый вид деятельности, ед.</t>
  </si>
  <si>
    <t>1.1</t>
  </si>
  <si>
    <t>1.2</t>
  </si>
  <si>
    <t>2</t>
  </si>
  <si>
    <t xml:space="preserve">Энергия, в том числе </t>
  </si>
  <si>
    <t xml:space="preserve">энергия (покупная энергия) на технологические цели </t>
  </si>
  <si>
    <t xml:space="preserve">затраты на покупную тепловую энергию </t>
  </si>
  <si>
    <t>С коллекторов, всего</t>
  </si>
  <si>
    <t>от станций с мощностью производства &gt;= 25 МВт</t>
  </si>
  <si>
    <t>от станций с мощностью производства &lt; 25 МВт</t>
  </si>
  <si>
    <t>покупка потерь с коллекторов</t>
  </si>
  <si>
    <t>Из тепловой сети, всего</t>
  </si>
  <si>
    <t>от котельных (некомбинированная выработка)</t>
  </si>
  <si>
    <t>покупка потерь из тепловой сети</t>
  </si>
  <si>
    <t>затраты на оплату услуг по передаче тепловой энергии</t>
  </si>
  <si>
    <t>затраты на покупную электрическую энергию, по уровням напряжения:</t>
  </si>
  <si>
    <t>объём энергии (тыс.кВт*ч)</t>
  </si>
  <si>
    <t>объём заявленной мощности (МВт)</t>
  </si>
  <si>
    <t>энергия НН (0,4 кВ и ниже)</t>
  </si>
  <si>
    <t>тариф на энергию (руб./кВт*ч)</t>
  </si>
  <si>
    <t>заявленная мощность по НН (0,4 кВ и ниже)</t>
  </si>
  <si>
    <t>тариф на заявленную мощность (руб./кВт*мес)</t>
  </si>
  <si>
    <t>годовой объём мощности (МВт)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</si>
  <si>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</si>
  <si>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</si>
  <si>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</si>
  <si>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</si>
  <si>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</si>
  <si>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</si>
  <si>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 xml:space="preserve">энергия на хозяйственные нужды </t>
  </si>
  <si>
    <t xml:space="preserve">тепловая энергия </t>
  </si>
  <si>
    <t xml:space="preserve">электрическая энергия </t>
  </si>
  <si>
    <t>год</t>
  </si>
  <si>
    <t>1</t>
  </si>
  <si>
    <t>1.1.1</t>
  </si>
  <si>
    <t>1.1.1.1</t>
  </si>
  <si>
    <t>1.1.1.1.1</t>
  </si>
  <si>
    <t>1.1.1.1.2</t>
  </si>
  <si>
    <t>1.1.1.2</t>
  </si>
  <si>
    <t>1.1.2</t>
  </si>
  <si>
    <t>1.1.3</t>
  </si>
  <si>
    <t>2.2.0.1</t>
  </si>
  <si>
    <t>2.2.0.2</t>
  </si>
  <si>
    <t>2.2.1.1</t>
  </si>
  <si>
    <t>2.2.1.1.1</t>
  </si>
  <si>
    <t>2.2.1.1.2</t>
  </si>
  <si>
    <t>2.2.1.2</t>
  </si>
  <si>
    <t>2.2.1.2.1</t>
  </si>
  <si>
    <t>2.2.1.2.2</t>
  </si>
  <si>
    <t>2.2.2.1</t>
  </si>
  <si>
    <t>2.2.2.1.1</t>
  </si>
  <si>
    <t>2.2.2.1.2</t>
  </si>
  <si>
    <t>2.2.2.2</t>
  </si>
  <si>
    <t>2.2.2.2.1</t>
  </si>
  <si>
    <t>2.2.2.2.2</t>
  </si>
  <si>
    <t>2.2.3.1</t>
  </si>
  <si>
    <t>2.2.3.1.1</t>
  </si>
  <si>
    <t>2.2.3.1.2</t>
  </si>
  <si>
    <t>2.2.3.2</t>
  </si>
  <si>
    <t>2.2.3.2.1</t>
  </si>
  <si>
    <t>2.2.3.2.2</t>
  </si>
  <si>
    <t>2.2.4.1</t>
  </si>
  <si>
    <t>2.2.4.1.1</t>
  </si>
  <si>
    <t>2.2.4.1.2</t>
  </si>
  <si>
    <t>2.2.4.2</t>
  </si>
  <si>
    <t>2.2.4.2.1</t>
  </si>
  <si>
    <t>2.2.4.2.2</t>
  </si>
  <si>
    <t>1.1.1.2.1</t>
  </si>
  <si>
    <t>1.1.1.2.2</t>
  </si>
  <si>
    <t>1.1.1.3</t>
  </si>
  <si>
    <t>1.1.1.3.1</t>
  </si>
  <si>
    <t>1.1.1.3.2</t>
  </si>
  <si>
    <t>1.1.1.3.3</t>
  </si>
  <si>
    <t>1.1.1.4</t>
  </si>
  <si>
    <t>1.1.1.4.1</t>
  </si>
  <si>
    <t>1.1.1.4.2</t>
  </si>
  <si>
    <t>1.1.1.4.3</t>
  </si>
  <si>
    <t>1.1.3.0.1</t>
  </si>
  <si>
    <t>1.1.3.0.2</t>
  </si>
  <si>
    <t>1.1.3.1.1</t>
  </si>
  <si>
    <t>1.1.3.1.1.1</t>
  </si>
  <si>
    <t>1.1.3.1.1.2</t>
  </si>
  <si>
    <t>1.1.3.1.2</t>
  </si>
  <si>
    <t>1.1.3.1.2.1</t>
  </si>
  <si>
    <t>1.1.3.1.2.2</t>
  </si>
  <si>
    <t>1.1.3.2.1</t>
  </si>
  <si>
    <t>1.1.3.2.1.1</t>
  </si>
  <si>
    <t>1.1.3.2.1.2</t>
  </si>
  <si>
    <t>1.1.3.2.2</t>
  </si>
  <si>
    <t>1.1.3.2.2.1</t>
  </si>
  <si>
    <t>1.1.3.2.2.2</t>
  </si>
  <si>
    <t>1.1.3.3.1</t>
  </si>
  <si>
    <t>1.1.3.3.1.1</t>
  </si>
  <si>
    <t>1.1.3.3.1.2</t>
  </si>
  <si>
    <t>1.1.3.3.2</t>
  </si>
  <si>
    <t>1.1.3.3.2.1</t>
  </si>
  <si>
    <t>1.1.3.3.2.2</t>
  </si>
  <si>
    <t>1.1.3.4.1</t>
  </si>
  <si>
    <t>1.1.3.4.1.1</t>
  </si>
  <si>
    <t>1.1.3.4.1.2</t>
  </si>
  <si>
    <t>1.1.3.4.2</t>
  </si>
  <si>
    <t>1.1.3.4.2.1</t>
  </si>
  <si>
    <t>1.1.3.4.2.2</t>
  </si>
  <si>
    <t>тепло-</t>
  </si>
  <si>
    <t>снабжение</t>
  </si>
  <si>
    <t>водо-</t>
  </si>
  <si>
    <t>водоотве-</t>
  </si>
  <si>
    <t>дение</t>
  </si>
  <si>
    <t>Приложение № 2.2</t>
  </si>
  <si>
    <t>Статьи расходов</t>
  </si>
  <si>
    <t xml:space="preserve">1.1. ФОТ цехового персонала </t>
  </si>
  <si>
    <t xml:space="preserve">1. Цеховые расходы - всего,  </t>
  </si>
  <si>
    <t>1.1. ФОТ АУП</t>
  </si>
  <si>
    <t xml:space="preserve">1.2. Прочие расходы, всего, </t>
  </si>
  <si>
    <t>Распределение расходов по видам деятельности</t>
  </si>
  <si>
    <t xml:space="preserve"> - теплоснабжение</t>
  </si>
  <si>
    <t xml:space="preserve"> - водоснабжение</t>
  </si>
  <si>
    <t xml:space="preserve"> - водоотведение</t>
  </si>
  <si>
    <t xml:space="preserve">  указать др. виды услуг, оказываемые предприятием, на которые распределяются общехозяйственные расходы</t>
  </si>
  <si>
    <t xml:space="preserve">1. Общехозяйственные расходы - всего,  </t>
  </si>
  <si>
    <t>Приложение № 10</t>
  </si>
  <si>
    <t>Прибыль на развитие производства</t>
  </si>
  <si>
    <t>капитальные вложения</t>
  </si>
  <si>
    <t>Прибыль на социальное развитие</t>
  </si>
  <si>
    <t>Прибыль на прочие цели</t>
  </si>
  <si>
    <t>Прибыль не облагаемая налогом</t>
  </si>
  <si>
    <t>Прибыль облагаемая налогом</t>
  </si>
  <si>
    <t>Налоги, сборы и платежи, всего:</t>
  </si>
  <si>
    <t xml:space="preserve"> - на прибыль</t>
  </si>
  <si>
    <t xml:space="preserve"> - на содержание милиции</t>
  </si>
  <si>
    <t xml:space="preserve"> - на имущество</t>
  </si>
  <si>
    <t xml:space="preserve"> - на содержание соцсферы</t>
  </si>
  <si>
    <t xml:space="preserve"> - плата за выбросы (сбросы) загрязняющих веществ</t>
  </si>
  <si>
    <t xml:space="preserve"> - другие налоги, сборы и обязательные платежи</t>
  </si>
  <si>
    <t>Балансовая прибыль, всего</t>
  </si>
  <si>
    <t xml:space="preserve">               в том числе:</t>
  </si>
  <si>
    <t xml:space="preserve">                в том числе:</t>
  </si>
  <si>
    <t>фонд накопления</t>
  </si>
  <si>
    <t>фонд потребления</t>
  </si>
  <si>
    <t>Информация о фактическом использовании прибыли (по каждому виду регулируемой деятельности)</t>
  </si>
  <si>
    <t xml:space="preserve"> - необходимость проведения ремонтов</t>
  </si>
  <si>
    <t xml:space="preserve"> - стоимость испотьзуемых материалов</t>
  </si>
  <si>
    <t xml:space="preserve"> - акт прима выполненных работ</t>
  </si>
  <si>
    <t>Указать в пояснительной записке:</t>
  </si>
  <si>
    <t>Приложение № 11</t>
  </si>
  <si>
    <t>Приложение № 12</t>
  </si>
  <si>
    <t>Информация о фактических затратах по проведению ремонтов                                                    (по каждому виду регулируемой деятельности)</t>
  </si>
  <si>
    <t>Информация о фактическом использовании амортизационных  отчислений                       (по каждому виду регулируемой деятельности)</t>
  </si>
  <si>
    <t>По состоянию на 01.01.2014</t>
  </si>
  <si>
    <t>4. Субсидии</t>
  </si>
  <si>
    <t>Сумма доходов (тыс.руб.)</t>
  </si>
  <si>
    <t>Общее количество, сумма</t>
  </si>
  <si>
    <t>Утвержденный ЭОТ (руб./Гкал)</t>
  </si>
  <si>
    <t>Предъявляемый тариф (руб./Гкал)</t>
  </si>
  <si>
    <r>
      <t xml:space="preserve">* В строках, где указан </t>
    </r>
    <r>
      <rPr>
        <b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- не заполнять. Итоги считаются автоматически</t>
    </r>
  </si>
  <si>
    <t>Полезный отпуск (Гкал) в т.ч.:</t>
  </si>
  <si>
    <t>Бюджетные потребители</t>
  </si>
  <si>
    <t>Население</t>
  </si>
  <si>
    <t>Прочие потребители</t>
  </si>
  <si>
    <t>переводной коэффициент (о.е.)</t>
  </si>
  <si>
    <t>стоимость перевозки (руб./тн.)</t>
  </si>
  <si>
    <t>тариф (руб/кВт.ч)</t>
  </si>
  <si>
    <t>1.3</t>
  </si>
  <si>
    <t>Электрическая энергия</t>
  </si>
  <si>
    <t>объём (тыс.кВтч)</t>
  </si>
  <si>
    <t>Валовая прибыль</t>
  </si>
  <si>
    <t>Баланс тепловой энергии</t>
  </si>
  <si>
    <t>(Гкал)</t>
  </si>
  <si>
    <t>Период</t>
  </si>
  <si>
    <t>Выработка</t>
  </si>
  <si>
    <t>Собственные нужды источника тепла</t>
  </si>
  <si>
    <t>Отпуск с коллекторов</t>
  </si>
  <si>
    <t>Покупная энергия</t>
  </si>
  <si>
    <t>Отпуск в сеть</t>
  </si>
  <si>
    <t>Потери в сетях</t>
  </si>
  <si>
    <t>Полезный отпуск, всего</t>
  </si>
  <si>
    <t>Полезный отпуск организациям-перепродавцам</t>
  </si>
  <si>
    <t>Полезный отпуск по группам потребителей</t>
  </si>
  <si>
    <t>Организации - перепродавцы, всего</t>
  </si>
  <si>
    <t>В собственную тепловую сеть</t>
  </si>
  <si>
    <t>Финансируемые из бюджетов всех уровней</t>
  </si>
  <si>
    <t>Прочие</t>
  </si>
  <si>
    <t>3</t>
  </si>
  <si>
    <t>3.2</t>
  </si>
  <si>
    <t>3.3</t>
  </si>
  <si>
    <t>4.1</t>
  </si>
  <si>
    <t>4.2</t>
  </si>
  <si>
    <t>4.3</t>
  </si>
  <si>
    <t>4.4</t>
  </si>
  <si>
    <t>5</t>
  </si>
  <si>
    <t>5.1</t>
  </si>
  <si>
    <t>5.2</t>
  </si>
  <si>
    <t>5.2.2.</t>
  </si>
  <si>
    <t>5.2.3</t>
  </si>
  <si>
    <t>5.2.3.1</t>
  </si>
  <si>
    <t>5.2.3.2</t>
  </si>
  <si>
    <t>5.2.3.3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</si>
  <si>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</si>
  <si>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</si>
  <si>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</si>
  <si>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</si>
  <si>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</si>
  <si>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</si>
  <si>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</si>
  <si>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</si>
  <si>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I полугодие</t>
  </si>
  <si>
    <t>июль</t>
  </si>
  <si>
    <t>август</t>
  </si>
  <si>
    <t>сентябрь</t>
  </si>
  <si>
    <t>III квартал</t>
  </si>
  <si>
    <t>IX месяцев</t>
  </si>
  <si>
    <t>октябрь</t>
  </si>
  <si>
    <t>ноябрь</t>
  </si>
  <si>
    <t>декабрь</t>
  </si>
  <si>
    <t>IV квартал</t>
  </si>
  <si>
    <t>Итого за год</t>
  </si>
  <si>
    <t>5.3</t>
  </si>
  <si>
    <t>Полезный отпуск</t>
  </si>
  <si>
    <t>без приборов учета</t>
  </si>
  <si>
    <t>5.4</t>
  </si>
  <si>
    <t>Приложение № 13</t>
  </si>
  <si>
    <t xml:space="preserve"> - стоимость испотьзуемых материалов с приложением  документов, подтверждающих их цену;</t>
  </si>
  <si>
    <t>Приложение к отчету документов, подтверждающих:</t>
  </si>
  <si>
    <t xml:space="preserve"> - необходимость проведения ремонтов;</t>
  </si>
  <si>
    <t xml:space="preserve"> - выполнение работ.</t>
  </si>
  <si>
    <t>по приборам      учета</t>
  </si>
  <si>
    <r>
      <t>Единица измерения - м</t>
    </r>
    <r>
      <rPr>
        <vertAlign val="superscript"/>
        <sz val="9"/>
        <rFont val="Tahoma"/>
        <family val="2"/>
      </rPr>
      <t>3</t>
    </r>
  </si>
  <si>
    <t>Субъект баланса</t>
  </si>
  <si>
    <t>Вид товара</t>
  </si>
  <si>
    <t xml:space="preserve">Поднято воды </t>
  </si>
  <si>
    <t>Хозяйственные нужды предприятия</t>
  </si>
  <si>
    <t>Пропущено воды через очистные сооружения (справочно)</t>
  </si>
  <si>
    <t xml:space="preserve">Потери воды </t>
  </si>
  <si>
    <t>Отпущено воды, всего</t>
  </si>
  <si>
    <t>Расход воды на нужды предприятия</t>
  </si>
  <si>
    <t>Отпущено воды другим водопроводам</t>
  </si>
  <si>
    <t xml:space="preserve">Отпущено воды по категориям потребителей  </t>
  </si>
  <si>
    <t>Объём реализации воды питьевого качества по приборам учёта</t>
  </si>
  <si>
    <t>Объём реализации воды питьевого качества по нормативам</t>
  </si>
  <si>
    <t>Всего, в т.ч.</t>
  </si>
  <si>
    <t>на очистные сооружения</t>
  </si>
  <si>
    <t>на промывку сетей</t>
  </si>
  <si>
    <t>прочие</t>
  </si>
  <si>
    <t>А</t>
  </si>
  <si>
    <t>Б</t>
  </si>
  <si>
    <t>4</t>
  </si>
  <si>
    <t>5.2.1</t>
  </si>
  <si>
    <t>5.2.1.1</t>
  </si>
  <si>
    <t>5.2.1.2</t>
  </si>
  <si>
    <t>5.2.1.3</t>
  </si>
  <si>
    <t>5.2.2</t>
  </si>
  <si>
    <t>6.1</t>
  </si>
  <si>
    <t>6.2</t>
  </si>
  <si>
    <t>1.0</t>
  </si>
  <si>
    <t>вода питьевого качества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</si>
  <si>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</si>
  <si>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</si>
  <si>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</si>
  <si>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</si>
  <si>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</si>
  <si>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</si>
  <si>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</si>
  <si>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</si>
  <si>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</si>
  <si>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Принято воды для передачи</t>
  </si>
  <si>
    <t>Потери</t>
  </si>
  <si>
    <t>Отпуск воды</t>
  </si>
  <si>
    <t>Передано на нужды организации</t>
  </si>
  <si>
    <t>Организациям-перепродавцам</t>
  </si>
  <si>
    <t>3.1</t>
  </si>
  <si>
    <t>3.4</t>
  </si>
  <si>
    <t>3.5</t>
  </si>
  <si>
    <t>др. виды</t>
  </si>
  <si>
    <t>деят-сти</t>
  </si>
  <si>
    <t>1. Кредиторская задолженность по платежам в бюджет,</t>
  </si>
  <si>
    <t>Объем полезного отпуска (тыс.Гкал), объем реализации воды (тыс.м3), пропущено ст.вод (тыс.м3)</t>
  </si>
  <si>
    <t>Приложение № 8</t>
  </si>
  <si>
    <t>Расшифровка общехозяйственных расходов  и их распределение (по каждому виду регулиремой деятельности)</t>
  </si>
  <si>
    <t>Расшифровка цеховых расходов (по каждому виду регулируемой деятельности)</t>
  </si>
  <si>
    <t>Реестр сч/фактур по электроэнергии (по каждому виду регулируемой деятельности)</t>
  </si>
  <si>
    <t>Информация по электроэнергии (по каждому виду регулируемой деятельности)</t>
  </si>
  <si>
    <t>Приложение 1.1</t>
  </si>
  <si>
    <t>Приложение 1.2</t>
  </si>
  <si>
    <t>Приложение 1.3</t>
  </si>
  <si>
    <t>Приложение 2.1</t>
  </si>
  <si>
    <t>Приложение № 6</t>
  </si>
  <si>
    <t>Приложение № 7</t>
  </si>
  <si>
    <t>Приложение № 14</t>
  </si>
  <si>
    <t>__________________________________________________(по каждому виду регулируемой деятельности)</t>
  </si>
  <si>
    <t>В отношении контрагентов юридических лиц</t>
  </si>
  <si>
    <t>дибиторов</t>
  </si>
  <si>
    <t>Предъявлено исков в суд</t>
  </si>
  <si>
    <t>(сумма в руб.)</t>
  </si>
  <si>
    <t>Взыскано</t>
  </si>
  <si>
    <t>Передано в ССП</t>
  </si>
  <si>
    <t>Оплачено</t>
  </si>
  <si>
    <t>В отношении контрагентов физических лиц</t>
  </si>
  <si>
    <t>Предъявленные в суд исковые заявления</t>
  </si>
  <si>
    <t>Принятые судебные решения</t>
  </si>
  <si>
    <t>об удовлетворении исков</t>
  </si>
  <si>
    <t>Переданные исполнительные листы в ССП</t>
  </si>
  <si>
    <t>Количество</t>
  </si>
  <si>
    <t>Сумма в рублях</t>
  </si>
  <si>
    <t>Директор __________________________________________</t>
  </si>
  <si>
    <t>Главный бухгалтер __________________________________</t>
  </si>
  <si>
    <t>Юрист____________________________________________</t>
  </si>
  <si>
    <t>"_____"______________201____г.</t>
  </si>
  <si>
    <t xml:space="preserve">                                          (наименование предприятия)</t>
  </si>
  <si>
    <t>ГСМ</t>
  </si>
  <si>
    <t>Приложение № 3</t>
  </si>
  <si>
    <t>Приложение № 4.1</t>
  </si>
  <si>
    <t>Приложение № 9</t>
  </si>
  <si>
    <t>тыс. руб.</t>
  </si>
  <si>
    <t>Ремонтный фонд</t>
  </si>
  <si>
    <t>Инвестиционная составляющая прибыли</t>
  </si>
  <si>
    <t>Всего по источникам</t>
  </si>
  <si>
    <t>% освоения</t>
  </si>
  <si>
    <r>
      <t xml:space="preserve">Отчет о фактических расходах на все виды ремонтов и инвестиции в сфере </t>
    </r>
    <r>
      <rPr>
        <b/>
        <sz val="10"/>
        <color indexed="8"/>
        <rFont val="Times New Roman"/>
        <family val="1"/>
      </rPr>
      <t>теплоснабжения.</t>
    </r>
  </si>
  <si>
    <r>
      <t xml:space="preserve">Отчет о фактических расходах на все виды ремонтов и инвестиции в сфере </t>
    </r>
    <r>
      <rPr>
        <b/>
        <sz val="10"/>
        <color indexed="8"/>
        <rFont val="Times New Roman"/>
        <family val="1"/>
      </rPr>
      <t>водоснабжения.</t>
    </r>
  </si>
  <si>
    <r>
      <t xml:space="preserve">Отчет о фактических расходах на все виды ремонтов и инвестиции в сфере </t>
    </r>
    <r>
      <rPr>
        <b/>
        <sz val="10"/>
        <color indexed="8"/>
        <rFont val="Times New Roman"/>
        <family val="1"/>
      </rPr>
      <t>водоотведения.</t>
    </r>
  </si>
  <si>
    <t xml:space="preserve">Отчет о работе хозяйствующего субъекта по взысканию дебиторской заложенности за _______год  (_____ квартал_______ года) </t>
  </si>
  <si>
    <t>По состоянию на 01.01.2015</t>
  </si>
  <si>
    <t>План на 2015 год</t>
  </si>
  <si>
    <t>Факт за 2015 год</t>
  </si>
  <si>
    <t xml:space="preserve">Откл. (%) </t>
  </si>
  <si>
    <t>Сумма затрат (тыс.руб.)</t>
  </si>
  <si>
    <t>На 1 Гкал</t>
  </si>
  <si>
    <t>1.</t>
  </si>
  <si>
    <t>Операционные (подконтрольные) расходы</t>
  </si>
  <si>
    <t>1.1.</t>
  </si>
  <si>
    <t>Сырье, основные материалы</t>
  </si>
  <si>
    <t>материалы на ремонт</t>
  </si>
  <si>
    <t>материалы на эксплуатацию</t>
  </si>
  <si>
    <t>1.2.</t>
  </si>
  <si>
    <t xml:space="preserve">Оплата труда                              </t>
  </si>
  <si>
    <t>Оплата труда ОПП</t>
  </si>
  <si>
    <t xml:space="preserve">численность </t>
  </si>
  <si>
    <t xml:space="preserve">среднемесячная з/плата </t>
  </si>
  <si>
    <t>тарифная ставка I разряда</t>
  </si>
  <si>
    <t>1.3.</t>
  </si>
  <si>
    <t xml:space="preserve">Ремонт основных средств, выполняемый подрядным способом    </t>
  </si>
  <si>
    <t>1.4.</t>
  </si>
  <si>
    <t>Прочие расходы - всего, в том числе:</t>
  </si>
  <si>
    <t xml:space="preserve">       средства по охране труда (спецодежда, спецпитание, моющие средства)</t>
  </si>
  <si>
    <t xml:space="preserve">       содержание автотранспорта</t>
  </si>
  <si>
    <t xml:space="preserve">       канцтовары</t>
  </si>
  <si>
    <t xml:space="preserve">       услуги связи</t>
  </si>
  <si>
    <t>2.</t>
  </si>
  <si>
    <t>Расходы на приобретение энергетических ресурсов</t>
  </si>
  <si>
    <t>2.1.</t>
  </si>
  <si>
    <t>нормативный расход усл. топлива (кг.у.т./Гкал)</t>
  </si>
  <si>
    <t>низшая теплота сгорания угля</t>
  </si>
  <si>
    <t>стоимость угля с учетом перевозки (руб./тн.) в т.ч.:</t>
  </si>
  <si>
    <t xml:space="preserve">стоимость угля </t>
  </si>
  <si>
    <t>2.2.</t>
  </si>
  <si>
    <t>средний тариф (руб/кВт.ч)</t>
  </si>
  <si>
    <t>2.3.</t>
  </si>
  <si>
    <r>
      <t>количество воды (тыс.м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>)</t>
    </r>
  </si>
  <si>
    <r>
      <t>стоимость воды (руб./м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>)</t>
    </r>
  </si>
  <si>
    <t>3.</t>
  </si>
  <si>
    <t xml:space="preserve">Неподконтрольные расходы </t>
  </si>
  <si>
    <t>3.1.</t>
  </si>
  <si>
    <t xml:space="preserve">Отчисления на социальные нужды            </t>
  </si>
  <si>
    <t>3.1.1.</t>
  </si>
  <si>
    <t>3.1.3.</t>
  </si>
  <si>
    <t>3.2.</t>
  </si>
  <si>
    <t xml:space="preserve">Амортизация, включая амортизацию производственного оборудования                 </t>
  </si>
  <si>
    <t>3.3.</t>
  </si>
  <si>
    <t xml:space="preserve">Арендная плата </t>
  </si>
  <si>
    <t>3.4.</t>
  </si>
  <si>
    <t>Внереализационные расходы - всего, в т.ч.:</t>
  </si>
  <si>
    <t>3.3.2.</t>
  </si>
  <si>
    <t xml:space="preserve">       услуги банков</t>
  </si>
  <si>
    <t>3.3.1.</t>
  </si>
  <si>
    <t xml:space="preserve">       обслуживание заемных средств</t>
  </si>
  <si>
    <t>Налоги, сборы и др. обязательные платежи</t>
  </si>
  <si>
    <t>3.4.1.</t>
  </si>
  <si>
    <t xml:space="preserve"> - налог на имущество организаций            </t>
  </si>
  <si>
    <t>3.4.2.</t>
  </si>
  <si>
    <t xml:space="preserve"> - земельный налог                           </t>
  </si>
  <si>
    <t>3.4.3.</t>
  </si>
  <si>
    <t xml:space="preserve"> - транспортный налог                        </t>
  </si>
  <si>
    <t>3.4.4.</t>
  </si>
  <si>
    <t xml:space="preserve"> - налог за ПДВ и размещение отходов                       </t>
  </si>
  <si>
    <t>3.4.5.</t>
  </si>
  <si>
    <t xml:space="preserve"> - прочие налоги                     </t>
  </si>
  <si>
    <t>4.</t>
  </si>
  <si>
    <t>Итого расходов</t>
  </si>
  <si>
    <t>5.</t>
  </si>
  <si>
    <t>5.1.</t>
  </si>
  <si>
    <t>прибыль на развитие производства (капитальные вложения)</t>
  </si>
  <si>
    <t>5.2.</t>
  </si>
  <si>
    <t>5.3.</t>
  </si>
  <si>
    <t>прибыль на поощрение</t>
  </si>
  <si>
    <t>5.4.</t>
  </si>
  <si>
    <t>прибыль на прочие цели</t>
  </si>
  <si>
    <t>5.5.</t>
  </si>
  <si>
    <t>налоги, сборы, платежи - всего, в том числе:</t>
  </si>
  <si>
    <t>5.5.1.</t>
  </si>
  <si>
    <t xml:space="preserve">  налог на прибыль</t>
  </si>
  <si>
    <t>5.5.2.</t>
  </si>
  <si>
    <t xml:space="preserve">  налог на имущество</t>
  </si>
  <si>
    <t>5.5.3.</t>
  </si>
  <si>
    <t xml:space="preserve">  другие налоги</t>
  </si>
  <si>
    <t>6.</t>
  </si>
  <si>
    <t>Итого неподконтрольных расходов</t>
  </si>
  <si>
    <t>7.</t>
  </si>
  <si>
    <t xml:space="preserve">Необходимая валовая выручка        </t>
  </si>
  <si>
    <t>8.</t>
  </si>
  <si>
    <t>8.1.</t>
  </si>
  <si>
    <t>8.2.</t>
  </si>
  <si>
    <t>8.3.</t>
  </si>
  <si>
    <t>Отпуск т/э в сеть</t>
  </si>
  <si>
    <t>Выработка тепловой энергии</t>
  </si>
  <si>
    <t>Фин.результат</t>
  </si>
  <si>
    <t>Оплата труда АУП</t>
  </si>
  <si>
    <t>Оплата труда АДС</t>
  </si>
  <si>
    <t xml:space="preserve">        расходные материалы</t>
  </si>
  <si>
    <t xml:space="preserve">       коммунальнын услуги</t>
  </si>
  <si>
    <t xml:space="preserve">       командировочные расходы</t>
  </si>
  <si>
    <t xml:space="preserve">       обслуживание оргтехники</t>
  </si>
  <si>
    <t xml:space="preserve">       услуги сторонних организаций </t>
  </si>
  <si>
    <t xml:space="preserve">Расходы на топливо (угольные котельные)                    </t>
  </si>
  <si>
    <t>ДР</t>
  </si>
  <si>
    <t>ДМСШ</t>
  </si>
  <si>
    <t>количество угля  (т.н.т.)</t>
  </si>
  <si>
    <t xml:space="preserve">Энергия НН </t>
  </si>
  <si>
    <t>Энергия СН-2 до 150 кВт.ч</t>
  </si>
  <si>
    <t>общее кол-во э/эн (тыс.кВтч)</t>
  </si>
  <si>
    <t xml:space="preserve">Расходы на холодную воду               </t>
  </si>
  <si>
    <t>отчисления от ФОТ ОПП</t>
  </si>
  <si>
    <t>отчисления от ФОТ АУП</t>
  </si>
  <si>
    <t>отчисления от ФОТ АДС</t>
  </si>
  <si>
    <t>угольные котельные</t>
  </si>
  <si>
    <t>эл.котельные</t>
  </si>
  <si>
    <t xml:space="preserve">       транспортные услуги</t>
  </si>
  <si>
    <t>Энергия (эл.котельные) (указать напряжение)</t>
  </si>
  <si>
    <t>Удельный вес в смете затрат (%)</t>
  </si>
  <si>
    <t xml:space="preserve">План </t>
  </si>
  <si>
    <t>Факт за _____квартал,  год</t>
  </si>
  <si>
    <t>План за _____квартал,  год</t>
  </si>
  <si>
    <t>план 2015 года</t>
  </si>
  <si>
    <t>факт 2015 года</t>
  </si>
  <si>
    <t xml:space="preserve">1.2. Прочие прямые расходы , всего, </t>
  </si>
  <si>
    <t>в том числе (расшифровка затрат):</t>
  </si>
  <si>
    <t>По состоянию на 01.01.2016</t>
  </si>
  <si>
    <t>с 01.01 - 30.06.2015</t>
  </si>
  <si>
    <t xml:space="preserve">с 01.07 -31.12.2015 </t>
  </si>
  <si>
    <t>Фактически начислено за 2015 год</t>
  </si>
  <si>
    <t>План 2015 года</t>
  </si>
  <si>
    <t>Фактически оплачено за 2015 год</t>
  </si>
  <si>
    <t xml:space="preserve">Плановая смета на 2015 год                                (среднегодовая НВВ)           </t>
  </si>
  <si>
    <t>На 1 м3</t>
  </si>
  <si>
    <t>(наименование организации коммунального комплекса)</t>
  </si>
  <si>
    <t>(наименование теплоснабжающей организации)</t>
  </si>
  <si>
    <r>
      <t xml:space="preserve">Наименование организции коммунального комплекса        </t>
    </r>
    <r>
      <rPr>
        <b/>
        <i/>
        <u val="single"/>
        <sz val="12"/>
        <rFont val="Times New Roman"/>
        <family val="1"/>
      </rPr>
      <t xml:space="preserve">МУП "Надежда"     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</si>
  <si>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Анализ затрат по теплоснабжению за </t>
    </r>
    <r>
      <rPr>
        <b/>
        <u val="single"/>
        <sz val="10"/>
        <color indexed="8"/>
        <rFont val="Times New Roman"/>
        <family val="1"/>
      </rPr>
      <t xml:space="preserve">2015 </t>
    </r>
    <r>
      <rPr>
        <b/>
        <sz val="10"/>
        <color indexed="8"/>
        <rFont val="Times New Roman"/>
        <family val="1"/>
      </rPr>
      <t xml:space="preserve"> год</t>
    </r>
  </si>
  <si>
    <t>МУП "Надежда"</t>
  </si>
  <si>
    <r>
      <t xml:space="preserve">Наименование предприятия  </t>
    </r>
    <r>
      <rPr>
        <b/>
        <i/>
        <u val="single"/>
        <sz val="12"/>
        <color indexed="8"/>
        <rFont val="Times New Roman"/>
        <family val="1"/>
      </rPr>
      <t>МУП "Надежда"</t>
    </r>
  </si>
  <si>
    <t>Холодное водоснабжение</t>
  </si>
  <si>
    <r>
      <t xml:space="preserve">Наименование предприятия   </t>
    </r>
    <r>
      <rPr>
        <i/>
        <u val="single"/>
        <sz val="14"/>
        <color indexed="8"/>
        <rFont val="Times New Roman"/>
        <family val="1"/>
      </rPr>
      <t>МУП "Надежда"</t>
    </r>
  </si>
  <si>
    <t>услуги банка</t>
  </si>
  <si>
    <t>канцтовары</t>
  </si>
  <si>
    <t>прочее</t>
  </si>
  <si>
    <t>гсм на о/х нужды</t>
  </si>
  <si>
    <t>с услуги связи</t>
  </si>
  <si>
    <t xml:space="preserve"> услуги програмного обеспечения</t>
  </si>
  <si>
    <t>почтовотелеграфные раходы</t>
  </si>
  <si>
    <t>обслуживание орг.техники</t>
  </si>
  <si>
    <r>
      <t xml:space="preserve">Наименование предприятия  </t>
    </r>
    <r>
      <rPr>
        <b/>
        <i/>
        <u val="single"/>
        <sz val="11"/>
        <color indexed="8"/>
        <rFont val="Times New Roman"/>
        <family val="1"/>
      </rPr>
      <t>МУП "Надежда"</t>
    </r>
  </si>
  <si>
    <t>2002/2/2</t>
  </si>
  <si>
    <t>ОАО "Хакасэнергосбыт"</t>
  </si>
  <si>
    <t>НН</t>
  </si>
  <si>
    <t>5847/2/2</t>
  </si>
  <si>
    <t>14705/2/2</t>
  </si>
  <si>
    <t>20730/2/2</t>
  </si>
  <si>
    <t>24758/2/2</t>
  </si>
  <si>
    <t>28836./2/2</t>
  </si>
  <si>
    <t>32429/2/2</t>
  </si>
  <si>
    <t>36150/2/2</t>
  </si>
  <si>
    <t>41753/2/2</t>
  </si>
  <si>
    <t>44818/2/2</t>
  </si>
  <si>
    <t>48380/2/2</t>
  </si>
  <si>
    <t>53844/2/2</t>
  </si>
  <si>
    <t>9784/2/2</t>
  </si>
  <si>
    <t>Тепловая энергия</t>
  </si>
  <si>
    <t>91329149/3000000547</t>
  </si>
  <si>
    <t>ООО "СУЭК-Хакасия"</t>
  </si>
  <si>
    <t>91357307/3000002126</t>
  </si>
  <si>
    <t>91456468/3000009207</t>
  </si>
  <si>
    <t>91477082/3000010656</t>
  </si>
  <si>
    <t>ООО "Разрез Аршановский"</t>
  </si>
  <si>
    <r>
      <t xml:space="preserve">Наименование теплоснабжающей органиазции </t>
    </r>
    <r>
      <rPr>
        <b/>
        <i/>
        <u val="single"/>
        <sz val="11"/>
        <color indexed="8"/>
        <rFont val="Times New Roman"/>
        <family val="1"/>
      </rPr>
      <t>МУП "Надежда"</t>
    </r>
  </si>
  <si>
    <t>ИТОГО</t>
  </si>
  <si>
    <r>
      <t xml:space="preserve">Наименование предприятия      </t>
    </r>
    <r>
      <rPr>
        <b/>
        <i/>
        <u val="single"/>
        <sz val="11"/>
        <color indexed="8"/>
        <rFont val="Times New Roman"/>
        <family val="1"/>
      </rPr>
      <t>МУП "Надежда"</t>
    </r>
  </si>
  <si>
    <r>
      <t xml:space="preserve">Наименование предприятия       </t>
    </r>
    <r>
      <rPr>
        <b/>
        <i/>
        <sz val="10"/>
        <color indexed="8"/>
        <rFont val="Times New Roman"/>
        <family val="1"/>
      </rPr>
      <t xml:space="preserve"> МУП "Надежда"</t>
    </r>
  </si>
  <si>
    <t>тепловая энергия</t>
  </si>
  <si>
    <t>обучение персонала</t>
  </si>
  <si>
    <t xml:space="preserve"> IV. Расходы, не учитываемые при определении налоговой базы налога на прибыли, - всего,</t>
  </si>
  <si>
    <t>в том числе:         населению</t>
  </si>
  <si>
    <t xml:space="preserve">                            прочим потребителям</t>
  </si>
  <si>
    <r>
      <t xml:space="preserve">Анализ затрат по холодному водоснабжению за </t>
    </r>
    <r>
      <rPr>
        <b/>
        <u val="single"/>
        <sz val="11"/>
        <color indexed="8"/>
        <rFont val="Times New Roman"/>
        <family val="1"/>
      </rPr>
      <t>2015</t>
    </r>
    <r>
      <rPr>
        <b/>
        <sz val="11"/>
        <color indexed="8"/>
        <rFont val="Times New Roman"/>
        <family val="1"/>
      </rPr>
      <t xml:space="preserve"> год</t>
    </r>
  </si>
  <si>
    <t>холодное водоснабжение</t>
  </si>
  <si>
    <t>охрана труда (спецодежда, моющие ср-ва, аптечки)</t>
  </si>
  <si>
    <t>услуги автокрана</t>
  </si>
  <si>
    <t>иследования воды</t>
  </si>
  <si>
    <t>Аква-хлор (реагент)</t>
  </si>
  <si>
    <t>транспортные услуги по достаке угля</t>
  </si>
  <si>
    <t>Главный бухгалтер</t>
  </si>
  <si>
    <t>О.В. Короленко</t>
  </si>
  <si>
    <r>
      <t xml:space="preserve">Наименование предприятия       </t>
    </r>
    <r>
      <rPr>
        <b/>
        <i/>
        <u val="single"/>
        <sz val="11"/>
        <color indexed="8"/>
        <rFont val="Times New Roman"/>
        <family val="1"/>
      </rPr>
      <t>МУП "Надежда"</t>
    </r>
  </si>
  <si>
    <t>Директор</t>
  </si>
  <si>
    <t>Т.А. Арсентьева</t>
  </si>
  <si>
    <t xml:space="preserve">Директор </t>
  </si>
  <si>
    <r>
      <t xml:space="preserve">Информация по электроэнергии     </t>
    </r>
    <r>
      <rPr>
        <i/>
        <u val="single"/>
        <sz val="11"/>
        <color indexed="8"/>
        <rFont val="Times New Roman"/>
        <family val="1"/>
      </rPr>
      <t>тепловая энергия</t>
    </r>
  </si>
  <si>
    <r>
      <t xml:space="preserve">Наименование предприятия       </t>
    </r>
    <r>
      <rPr>
        <i/>
        <u val="single"/>
        <sz val="11"/>
        <color indexed="8"/>
        <rFont val="Times New Roman"/>
        <family val="1"/>
      </rPr>
      <t>МУП "Надежда"</t>
    </r>
  </si>
  <si>
    <t>Затраты на оплату труда  (тыс.руб.)</t>
  </si>
  <si>
    <t>оплата труда основных производственных рабочих (тыс.руб.)</t>
  </si>
  <si>
    <t>оплата труда АУП   (тыс.руб.)</t>
  </si>
  <si>
    <r>
      <t xml:space="preserve">Информация по ФОТ      </t>
    </r>
    <r>
      <rPr>
        <i/>
        <u val="single"/>
        <sz val="13"/>
        <color indexed="8"/>
        <rFont val="Times New Roman"/>
        <family val="1"/>
      </rPr>
      <t>холодное водоснабжение</t>
    </r>
  </si>
  <si>
    <r>
      <t xml:space="preserve">Информация по ФОТ       </t>
    </r>
    <r>
      <rPr>
        <i/>
        <u val="single"/>
        <sz val="13"/>
        <color indexed="8"/>
        <rFont val="Times New Roman"/>
        <family val="1"/>
      </rPr>
      <t>тепловая энергия</t>
    </r>
  </si>
  <si>
    <r>
      <t xml:space="preserve">Баланс водоснабжения по муниципальному образованию -  </t>
    </r>
    <r>
      <rPr>
        <b/>
        <u val="single"/>
        <sz val="10"/>
        <rFont val="Tahoma"/>
        <family val="2"/>
      </rPr>
      <t>Новороссийский сельский совет</t>
    </r>
  </si>
  <si>
    <r>
      <t xml:space="preserve">Баланс организаций водоснабжения, осуществляющих передачу (транспортировку) по муниципальному образованию - </t>
    </r>
    <r>
      <rPr>
        <u val="single"/>
        <sz val="10"/>
        <rFont val="Tahoma"/>
        <family val="2"/>
      </rPr>
      <t>Новороссийский сельский совет</t>
    </r>
  </si>
  <si>
    <r>
      <t xml:space="preserve">Информация о доходах предприятия  </t>
    </r>
    <r>
      <rPr>
        <b/>
        <i/>
        <u val="single"/>
        <sz val="12"/>
        <color indexed="8"/>
        <rFont val="Times New Roman"/>
        <family val="1"/>
      </rPr>
      <t>по холодному водоснабжению</t>
    </r>
  </si>
  <si>
    <r>
      <t xml:space="preserve">Информация о доходах предприятия  </t>
    </r>
    <r>
      <rPr>
        <b/>
        <i/>
        <u val="single"/>
        <sz val="12"/>
        <color indexed="8"/>
        <rFont val="Times New Roman"/>
        <family val="1"/>
      </rPr>
      <t>по тепловой  энергии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</si>
</sst>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%"/>
    <numFmt numFmtId="171" formatCode="0.000"/>
    <numFmt numFmtId="172" formatCode="#,##0.00;[Red]\-#,##0.00;\-"/>
    <numFmt numFmtId="173" formatCode="0.00_ ;[Red]\-0.00\ "/>
    <numFmt numFmtId="174" formatCode="0.00000"/>
    <numFmt numFmtId="175" formatCode="#,##0.00000"/>
    <numFmt numFmtId="176" formatCode="#,##0.000"/>
    <numFmt numFmtId="177" formatCode="#,##0.0000"/>
    <numFmt numFmtId="178" formatCode="#,##0.0"/>
    <numFmt numFmtId="179" formatCode="#,##0.00&quot;р.&quot;"/>
    <numFmt numFmtId="180" formatCode="0.0000000"/>
    <numFmt numFmtId="181" formatCode="0.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9"/>
      <color indexed="55"/>
      <name val="Times New Roman"/>
      <family val="1"/>
    </font>
    <font>
      <b/>
      <sz val="9"/>
      <name val="Times New Roman"/>
      <family val="1"/>
    </font>
    <font>
      <sz val="10"/>
      <name val="Tahoma"/>
      <family val="2"/>
    </font>
    <font>
      <b/>
      <sz val="14"/>
      <color indexed="12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9"/>
      <color indexed="55"/>
      <name val="Tahoma"/>
      <family val="2"/>
    </font>
    <font>
      <b/>
      <sz val="10"/>
      <color indexed="8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sz val="8"/>
      <name val="Calibri"/>
      <family val="2"/>
    </font>
    <font>
      <sz val="10"/>
      <color indexed="9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i/>
      <u val="single"/>
      <sz val="11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u val="single"/>
      <sz val="10"/>
      <name val="Tahoma"/>
      <family val="2"/>
    </font>
    <font>
      <b/>
      <u val="single"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medium"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/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/>
      <top style="thin">
        <color indexed="22"/>
      </top>
      <bottom style="thin">
        <color indexed="23"/>
      </bottom>
    </border>
    <border>
      <left style="thin">
        <color indexed="22"/>
      </left>
      <right/>
      <top style="thin">
        <color indexed="23"/>
      </top>
      <bottom/>
    </border>
    <border>
      <left style="thin">
        <color indexed="22"/>
      </left>
      <right/>
      <top style="medium"/>
      <bottom style="thin">
        <color indexed="23"/>
      </bottom>
    </border>
    <border>
      <left style="thin">
        <color indexed="22"/>
      </left>
      <right/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/>
      <top style="medium"/>
      <bottom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/>
      <top style="medium"/>
      <bottom style="thin">
        <color indexed="23"/>
      </bottom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medium"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2"/>
      </left>
      <right style="medium"/>
      <top style="medium"/>
      <bottom style="thin">
        <color indexed="23"/>
      </bottom>
    </border>
    <border>
      <left style="thin">
        <color indexed="22"/>
      </left>
      <right style="medium"/>
      <top style="thin">
        <color indexed="23"/>
      </top>
      <bottom style="thin">
        <color indexed="23"/>
      </bottom>
    </border>
    <border>
      <left style="thin">
        <color indexed="22"/>
      </left>
      <right style="medium"/>
      <top style="thin">
        <color indexed="23"/>
      </top>
      <bottom/>
    </border>
    <border>
      <left style="thin">
        <color indexed="23"/>
      </left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49" fontId="8" fillId="0" borderId="0" applyBorder="0">
      <alignment vertical="top"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3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23" fillId="0" borderId="15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0" xfId="0" applyFont="1" applyBorder="1" applyAlignment="1">
      <alignment/>
    </xf>
    <xf numFmtId="0" fontId="32" fillId="0" borderId="23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23" xfId="0" applyFont="1" applyBorder="1" applyAlignment="1">
      <alignment/>
    </xf>
    <xf numFmtId="168" fontId="3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3" fillId="0" borderId="23" xfId="0" applyFont="1" applyBorder="1" applyAlignment="1">
      <alignment/>
    </xf>
    <xf numFmtId="2" fontId="31" fillId="0" borderId="13" xfId="0" applyNumberFormat="1" applyFont="1" applyBorder="1" applyAlignment="1">
      <alignment/>
    </xf>
    <xf numFmtId="0" fontId="3" fillId="0" borderId="2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1" fontId="31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1" fillId="0" borderId="13" xfId="0" applyFont="1" applyFill="1" applyBorder="1" applyAlignment="1">
      <alignment/>
    </xf>
    <xf numFmtId="0" fontId="3" fillId="0" borderId="24" xfId="0" applyFont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left" indent="1"/>
    </xf>
    <xf numFmtId="0" fontId="7" fillId="0" borderId="0" xfId="0" applyFont="1" applyAlignment="1">
      <alignment horizontal="left"/>
    </xf>
    <xf numFmtId="0" fontId="6" fillId="0" borderId="27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33" borderId="13" xfId="0" applyNumberFormat="1" applyFont="1" applyFill="1" applyBorder="1" applyAlignment="1" applyProtection="1">
      <alignment horizontal="left" vertical="center" wrapText="1" indent="2"/>
      <protection/>
    </xf>
    <xf numFmtId="49" fontId="10" fillId="33" borderId="13" xfId="0" applyNumberFormat="1" applyFont="1" applyFill="1" applyBorder="1" applyAlignment="1" applyProtection="1">
      <alignment horizontal="left" vertical="center" wrapText="1" indent="1"/>
      <protection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/>
    </xf>
    <xf numFmtId="49" fontId="10" fillId="33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Alignment="1">
      <alignment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ont="1" applyFill="1" applyBorder="1" applyAlignment="1" applyProtection="1">
      <alignment horizontal="left" vertical="center" wrapText="1" indent="2"/>
      <protection/>
    </xf>
    <xf numFmtId="49" fontId="0" fillId="33" borderId="13" xfId="0" applyNumberFormat="1" applyFont="1" applyFill="1" applyBorder="1" applyAlignment="1" applyProtection="1">
      <alignment horizontal="left" vertical="center" wrapText="1" indent="3"/>
      <protection/>
    </xf>
    <xf numFmtId="49" fontId="0" fillId="33" borderId="13" xfId="0" applyNumberFormat="1" applyFont="1" applyFill="1" applyBorder="1" applyAlignment="1" applyProtection="1">
      <alignment horizontal="left" vertical="center" wrapText="1" indent="4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left" vertical="center" wrapText="1" indent="3"/>
      <protection/>
    </xf>
    <xf numFmtId="49" fontId="8" fillId="33" borderId="13" xfId="0" applyNumberFormat="1" applyFont="1" applyFill="1" applyBorder="1" applyAlignment="1" applyProtection="1">
      <alignment horizontal="left" vertical="center" wrapText="1" indent="4"/>
      <protection/>
    </xf>
    <xf numFmtId="49" fontId="8" fillId="33" borderId="13" xfId="0" applyNumberFormat="1" applyFont="1" applyFill="1" applyBorder="1" applyAlignment="1" applyProtection="1">
      <alignment horizontal="left" vertical="center" wrapText="1" indent="2"/>
      <protection/>
    </xf>
    <xf numFmtId="49" fontId="0" fillId="33" borderId="13" xfId="0" applyNumberFormat="1" applyFill="1" applyBorder="1" applyAlignment="1" applyProtection="1">
      <alignment horizontal="center" vertical="center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1" fillId="0" borderId="15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3" fillId="0" borderId="28" xfId="0" applyFont="1" applyBorder="1" applyAlignment="1">
      <alignment horizontal="left"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 wrapText="1"/>
    </xf>
    <xf numFmtId="2" fontId="31" fillId="0" borderId="13" xfId="0" applyNumberFormat="1" applyFont="1" applyBorder="1" applyAlignment="1">
      <alignment wrapText="1"/>
    </xf>
    <xf numFmtId="0" fontId="31" fillId="0" borderId="0" xfId="0" applyFont="1" applyAlignment="1">
      <alignment wrapText="1"/>
    </xf>
    <xf numFmtId="2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13" xfId="0" applyNumberFormat="1" applyFont="1" applyBorder="1" applyAlignment="1">
      <alignment wrapText="1"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3" xfId="0" applyFont="1" applyBorder="1" applyAlignment="1">
      <alignment/>
    </xf>
    <xf numFmtId="49" fontId="0" fillId="0" borderId="0" xfId="0" applyNumberFormat="1" applyAlignment="1">
      <alignment vertical="top"/>
    </xf>
    <xf numFmtId="0" fontId="12" fillId="0" borderId="0" xfId="53" applyFont="1" applyAlignment="1" applyProtection="1">
      <alignment horizontal="right" vertical="center" wrapText="1"/>
      <protection/>
    </xf>
    <xf numFmtId="0" fontId="13" fillId="0" borderId="0" xfId="53" applyFont="1" applyAlignment="1" applyProtection="1">
      <alignment vertical="center" wrapText="1"/>
      <protection/>
    </xf>
    <xf numFmtId="0" fontId="5" fillId="0" borderId="0" xfId="56" applyFont="1" applyAlignment="1">
      <alignment horizontal="center"/>
      <protection/>
    </xf>
    <xf numFmtId="0" fontId="5" fillId="0" borderId="13" xfId="56" applyFont="1" applyBorder="1" applyAlignment="1">
      <alignment wrapText="1"/>
      <protection/>
    </xf>
    <xf numFmtId="49" fontId="6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0" fontId="12" fillId="0" borderId="0" xfId="53" applyFont="1" applyAlignment="1" applyProtection="1">
      <alignment horizontal="center" vertical="center" wrapText="1"/>
      <protection/>
    </xf>
    <xf numFmtId="0" fontId="10" fillId="0" borderId="0" xfId="53" applyFont="1" applyAlignment="1" applyProtection="1">
      <alignment vertical="center" wrapText="1"/>
      <protection/>
    </xf>
    <xf numFmtId="0" fontId="10" fillId="0" borderId="0" xfId="53" applyFont="1" applyAlignment="1" applyProtection="1">
      <alignment horizontal="right" vertical="center" wrapText="1"/>
      <protection/>
    </xf>
    <xf numFmtId="49" fontId="16" fillId="0" borderId="31" xfId="55" applyNumberFormat="1" applyFont="1" applyFill="1" applyBorder="1" applyAlignment="1" applyProtection="1">
      <alignment horizontal="center" vertical="center" wrapText="1"/>
      <protection/>
    </xf>
    <xf numFmtId="0" fontId="16" fillId="0" borderId="31" xfId="55" applyNumberFormat="1" applyFont="1" applyFill="1" applyBorder="1" applyAlignment="1" applyProtection="1">
      <alignment horizontal="center" vertical="center" wrapText="1"/>
      <protection/>
    </xf>
    <xf numFmtId="0" fontId="10" fillId="0" borderId="32" xfId="53" applyNumberFormat="1" applyFont="1" applyFill="1" applyBorder="1" applyAlignment="1" applyProtection="1">
      <alignment horizontal="left" vertical="center" wrapText="1" indent="1"/>
      <protection/>
    </xf>
    <xf numFmtId="4" fontId="10" fillId="0" borderId="32" xfId="53" applyNumberFormat="1" applyFont="1" applyFill="1" applyBorder="1" applyAlignment="1" applyProtection="1">
      <alignment horizontal="right" vertical="center" wrapText="1"/>
      <protection/>
    </xf>
    <xf numFmtId="4" fontId="10" fillId="0" borderId="32" xfId="54" applyNumberFormat="1" applyFont="1" applyFill="1" applyBorder="1" applyAlignment="1" applyProtection="1">
      <alignment horizontal="right" vertical="center" wrapText="1"/>
      <protection locked="0"/>
    </xf>
    <xf numFmtId="4" fontId="10" fillId="0" borderId="32" xfId="53" applyNumberFormat="1" applyFont="1" applyFill="1" applyBorder="1" applyAlignment="1" applyProtection="1">
      <alignment horizontal="right" vertical="center" wrapText="1"/>
      <protection locked="0"/>
    </xf>
    <xf numFmtId="0" fontId="17" fillId="0" borderId="32" xfId="53" applyNumberFormat="1" applyFont="1" applyFill="1" applyBorder="1" applyAlignment="1" applyProtection="1">
      <alignment horizontal="left" vertical="center" wrapText="1" indent="1"/>
      <protection/>
    </xf>
    <xf numFmtId="4" fontId="17" fillId="0" borderId="32" xfId="53" applyNumberFormat="1" applyFont="1" applyFill="1" applyBorder="1" applyAlignment="1" applyProtection="1">
      <alignment horizontal="right" vertical="center" wrapText="1"/>
      <protection/>
    </xf>
    <xf numFmtId="49" fontId="17" fillId="0" borderId="0" xfId="0" applyNumberFormat="1" applyFont="1" applyAlignment="1">
      <alignment vertical="top"/>
    </xf>
    <xf numFmtId="0" fontId="8" fillId="0" borderId="0" xfId="53" applyFont="1" applyFill="1" applyAlignment="1" applyProtection="1">
      <alignment vertical="center" wrapText="1"/>
      <protection/>
    </xf>
    <xf numFmtId="0" fontId="8" fillId="0" borderId="0" xfId="53" applyFont="1" applyAlignment="1" applyProtection="1">
      <alignment vertical="center" wrapText="1"/>
      <protection/>
    </xf>
    <xf numFmtId="0" fontId="9" fillId="0" borderId="0" xfId="53" applyFont="1" applyAlignment="1" applyProtection="1">
      <alignment vertical="center" wrapText="1"/>
      <protection/>
    </xf>
    <xf numFmtId="49" fontId="10" fillId="0" borderId="14" xfId="0" applyNumberFormat="1" applyFont="1" applyBorder="1" applyAlignment="1">
      <alignment vertical="top"/>
    </xf>
    <xf numFmtId="49" fontId="10" fillId="0" borderId="30" xfId="0" applyNumberFormat="1" applyFont="1" applyBorder="1" applyAlignment="1">
      <alignment horizontal="center" vertical="top" wrapText="1"/>
    </xf>
    <xf numFmtId="0" fontId="18" fillId="0" borderId="33" xfId="0" applyNumberFormat="1" applyFont="1" applyFill="1" applyBorder="1" applyAlignment="1" applyProtection="1">
      <alignment horizontal="left" vertical="center" indent="4"/>
      <protection/>
    </xf>
    <xf numFmtId="0" fontId="18" fillId="0" borderId="33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 indent="4"/>
      <protection/>
    </xf>
    <xf numFmtId="49" fontId="21" fillId="33" borderId="34" xfId="0" applyNumberFormat="1" applyFont="1" applyFill="1" applyBorder="1" applyAlignment="1" applyProtection="1">
      <alignment horizontal="center" vertical="center" wrapText="1"/>
      <protection/>
    </xf>
    <xf numFmtId="0" fontId="21" fillId="34" borderId="34" xfId="0" applyNumberFormat="1" applyFont="1" applyFill="1" applyBorder="1" applyAlignment="1" applyProtection="1">
      <alignment horizontal="center" vertical="center" wrapText="1"/>
      <protection/>
    </xf>
    <xf numFmtId="49" fontId="8" fillId="33" borderId="35" xfId="0" applyNumberFormat="1" applyFont="1" applyFill="1" applyBorder="1" applyAlignment="1" applyProtection="1">
      <alignment horizontal="center" vertical="center" wrapText="1"/>
      <protection/>
    </xf>
    <xf numFmtId="49" fontId="22" fillId="33" borderId="34" xfId="0" applyNumberFormat="1" applyFont="1" applyFill="1" applyBorder="1" applyAlignment="1" applyProtection="1">
      <alignment horizontal="center" vertical="center" wrapText="1"/>
      <protection/>
    </xf>
    <xf numFmtId="0" fontId="22" fillId="33" borderId="34" xfId="0" applyNumberFormat="1" applyFont="1" applyFill="1" applyBorder="1" applyAlignment="1" applyProtection="1">
      <alignment horizontal="center" vertical="center" wrapText="1"/>
      <protection/>
    </xf>
    <xf numFmtId="0" fontId="22" fillId="33" borderId="36" xfId="0" applyNumberFormat="1" applyFont="1" applyFill="1" applyBorder="1" applyAlignment="1" applyProtection="1">
      <alignment horizontal="center" vertical="center" wrapText="1"/>
      <protection/>
    </xf>
    <xf numFmtId="0" fontId="22" fillId="33" borderId="37" xfId="0" applyNumberFormat="1" applyFont="1" applyFill="1" applyBorder="1" applyAlignment="1" applyProtection="1">
      <alignment horizontal="center" vertical="center" wrapText="1"/>
      <protection/>
    </xf>
    <xf numFmtId="49" fontId="8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34" borderId="34" xfId="0" applyNumberFormat="1" applyFont="1" applyFill="1" applyBorder="1" applyAlignment="1" applyProtection="1">
      <alignment horizontal="left" vertical="center" wrapText="1" indent="1"/>
      <protection/>
    </xf>
    <xf numFmtId="49" fontId="8" fillId="34" borderId="34" xfId="0" applyNumberFormat="1" applyFont="1" applyFill="1" applyBorder="1" applyAlignment="1" applyProtection="1">
      <alignment horizontal="right" vertical="center" wrapText="1"/>
      <protection/>
    </xf>
    <xf numFmtId="4" fontId="8" fillId="34" borderId="34" xfId="0" applyNumberFormat="1" applyFont="1" applyFill="1" applyBorder="1" applyAlignment="1" applyProtection="1">
      <alignment vertical="center" wrapText="1"/>
      <protection/>
    </xf>
    <xf numFmtId="4" fontId="8" fillId="35" borderId="34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34" xfId="0" applyNumberFormat="1" applyFont="1" applyFill="1" applyBorder="1" applyAlignment="1" applyProtection="1">
      <alignment horizontal="right" vertical="center" wrapText="1"/>
      <protection/>
    </xf>
    <xf numFmtId="4" fontId="0" fillId="34" borderId="34" xfId="0" applyNumberFormat="1" applyFont="1" applyFill="1" applyBorder="1" applyAlignment="1" applyProtection="1">
      <alignment horizontal="right" vertical="center" wrapText="1"/>
      <protection/>
    </xf>
    <xf numFmtId="4" fontId="8" fillId="34" borderId="37" xfId="0" applyNumberFormat="1" applyFont="1" applyFill="1" applyBorder="1" applyAlignment="1" applyProtection="1">
      <alignment horizontal="right" vertical="center" wrapText="1"/>
      <protection/>
    </xf>
    <xf numFmtId="4" fontId="8" fillId="36" borderId="34" xfId="0" applyNumberFormat="1" applyFont="1" applyFill="1" applyBorder="1" applyAlignment="1" applyProtection="1">
      <alignment horizontal="right" vertical="center" wrapText="1"/>
      <protection/>
    </xf>
    <xf numFmtId="4" fontId="8" fillId="35" borderId="38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37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40" xfId="0" applyNumberFormat="1" applyFont="1" applyFill="1" applyBorder="1" applyAlignment="1" applyProtection="1">
      <alignment horizontal="left" vertical="center" wrapText="1" indent="1"/>
      <protection/>
    </xf>
    <xf numFmtId="49" fontId="8" fillId="34" borderId="40" xfId="0" applyNumberFormat="1" applyFont="1" applyFill="1" applyBorder="1" applyAlignment="1" applyProtection="1">
      <alignment horizontal="right" vertical="center" wrapText="1"/>
      <protection/>
    </xf>
    <xf numFmtId="4" fontId="8" fillId="36" borderId="40" xfId="0" applyNumberFormat="1" applyFont="1" applyFill="1" applyBorder="1" applyAlignment="1" applyProtection="1">
      <alignment horizontal="right" vertical="center" wrapText="1"/>
      <protection/>
    </xf>
    <xf numFmtId="4" fontId="8" fillId="34" borderId="40" xfId="0" applyNumberFormat="1" applyFont="1" applyFill="1" applyBorder="1" applyAlignment="1" applyProtection="1">
      <alignment horizontal="right" vertical="center" wrapText="1"/>
      <protection/>
    </xf>
    <xf numFmtId="4" fontId="8" fillId="35" borderId="40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41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42" xfId="0" applyNumberFormat="1" applyFont="1" applyFill="1" applyBorder="1" applyAlignment="1" applyProtection="1">
      <alignment horizontal="right" vertical="center" wrapText="1"/>
      <protection locked="0"/>
    </xf>
    <xf numFmtId="49" fontId="21" fillId="33" borderId="37" xfId="0" applyNumberFormat="1" applyFont="1" applyFill="1" applyBorder="1" applyAlignment="1" applyProtection="1">
      <alignment horizontal="center" vertical="center" wrapText="1"/>
      <protection/>
    </xf>
    <xf numFmtId="49" fontId="22" fillId="33" borderId="35" xfId="0" applyNumberFormat="1" applyFont="1" applyFill="1" applyBorder="1" applyAlignment="1" applyProtection="1">
      <alignment horizontal="center" vertical="center" wrapText="1"/>
      <protection/>
    </xf>
    <xf numFmtId="49" fontId="22" fillId="33" borderId="37" xfId="0" applyNumberFormat="1" applyFont="1" applyFill="1" applyBorder="1" applyAlignment="1" applyProtection="1">
      <alignment horizontal="center" vertical="center" wrapText="1"/>
      <protection/>
    </xf>
    <xf numFmtId="0" fontId="8" fillId="34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1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4" xfId="0" applyFont="1" applyBorder="1" applyAlignment="1">
      <alignment wrapText="1"/>
    </xf>
    <xf numFmtId="0" fontId="34" fillId="0" borderId="13" xfId="0" applyFont="1" applyBorder="1" applyAlignment="1">
      <alignment/>
    </xf>
    <xf numFmtId="0" fontId="34" fillId="0" borderId="13" xfId="0" applyFont="1" applyBorder="1" applyAlignment="1">
      <alignment wrapText="1"/>
    </xf>
    <xf numFmtId="0" fontId="37" fillId="0" borderId="13" xfId="0" applyFont="1" applyBorder="1" applyAlignment="1">
      <alignment/>
    </xf>
    <xf numFmtId="0" fontId="13" fillId="0" borderId="0" xfId="53" applyFont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wrapText="1"/>
    </xf>
    <xf numFmtId="49" fontId="18" fillId="0" borderId="0" xfId="57" applyFont="1">
      <alignment vertical="top"/>
      <protection/>
    </xf>
    <xf numFmtId="49" fontId="2" fillId="0" borderId="0" xfId="57" applyFont="1">
      <alignment vertical="top"/>
      <protection/>
    </xf>
    <xf numFmtId="0" fontId="2" fillId="0" borderId="30" xfId="56" applyFont="1" applyBorder="1" applyAlignment="1">
      <alignment horizontal="center" vertical="center" wrapText="1"/>
      <protection/>
    </xf>
    <xf numFmtId="0" fontId="2" fillId="0" borderId="29" xfId="56" applyFont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/>
      <protection/>
    </xf>
    <xf numFmtId="0" fontId="3" fillId="0" borderId="45" xfId="56" applyFont="1" applyBorder="1" applyAlignment="1">
      <alignment horizontal="left" vertical="center"/>
      <protection/>
    </xf>
    <xf numFmtId="2" fontId="5" fillId="0" borderId="46" xfId="57" applyNumberFormat="1" applyFont="1" applyBorder="1" applyAlignment="1">
      <alignment/>
      <protection/>
    </xf>
    <xf numFmtId="2" fontId="2" fillId="0" borderId="14" xfId="57" applyNumberFormat="1" applyFont="1" applyBorder="1" applyAlignment="1">
      <alignment horizontal="left" vertical="top"/>
      <protection/>
    </xf>
    <xf numFmtId="0" fontId="2" fillId="0" borderId="14" xfId="56" applyFont="1" applyBorder="1" applyAlignment="1">
      <alignment horizontal="left" vertical="center" wrapText="1"/>
      <protection/>
    </xf>
    <xf numFmtId="2" fontId="2" fillId="0" borderId="14" xfId="57" applyNumberFormat="1" applyFont="1" applyBorder="1" applyAlignment="1">
      <alignment/>
      <protection/>
    </xf>
    <xf numFmtId="2" fontId="2" fillId="0" borderId="28" xfId="57" applyNumberFormat="1" applyFont="1" applyBorder="1" applyAlignment="1">
      <alignment/>
      <protection/>
    </xf>
    <xf numFmtId="2" fontId="2" fillId="0" borderId="23" xfId="57" applyNumberFormat="1" applyFont="1" applyBorder="1" applyAlignment="1">
      <alignment/>
      <protection/>
    </xf>
    <xf numFmtId="2" fontId="2" fillId="0" borderId="13" xfId="57" applyNumberFormat="1" applyFont="1" applyBorder="1" applyAlignment="1">
      <alignment/>
      <protection/>
    </xf>
    <xf numFmtId="2" fontId="2" fillId="0" borderId="13" xfId="57" applyNumberFormat="1" applyFont="1" applyBorder="1" applyAlignment="1">
      <alignment horizontal="left" vertical="top"/>
      <protection/>
    </xf>
    <xf numFmtId="49" fontId="4" fillId="0" borderId="13" xfId="57" applyFont="1" applyFill="1" applyBorder="1" applyAlignment="1">
      <alignment horizontal="left" wrapText="1" indent="2"/>
      <protection/>
    </xf>
    <xf numFmtId="0" fontId="2" fillId="0" borderId="13" xfId="56" applyFont="1" applyBorder="1" applyAlignment="1">
      <alignment horizontal="left" vertical="center" wrapText="1"/>
      <protection/>
    </xf>
    <xf numFmtId="0" fontId="4" fillId="0" borderId="13" xfId="56" applyFont="1" applyBorder="1" applyAlignment="1">
      <alignment horizontal="left" vertical="center" wrapText="1"/>
      <protection/>
    </xf>
    <xf numFmtId="0" fontId="4" fillId="0" borderId="13" xfId="56" applyNumberFormat="1" applyFont="1" applyFill="1" applyBorder="1" applyAlignment="1">
      <alignment horizontal="left" wrapText="1"/>
      <protection/>
    </xf>
    <xf numFmtId="2" fontId="2" fillId="0" borderId="30" xfId="57" applyNumberFormat="1" applyFont="1" applyBorder="1" applyAlignment="1">
      <alignment horizontal="left" vertical="top"/>
      <protection/>
    </xf>
    <xf numFmtId="2" fontId="3" fillId="0" borderId="44" xfId="57" applyNumberFormat="1" applyFont="1" applyBorder="1" applyAlignment="1">
      <alignment horizontal="center" vertical="top"/>
      <protection/>
    </xf>
    <xf numFmtId="49" fontId="3" fillId="0" borderId="45" xfId="57" applyFont="1" applyFill="1" applyBorder="1" applyAlignment="1">
      <alignment horizontal="left" wrapText="1" indent="2"/>
      <protection/>
    </xf>
    <xf numFmtId="49" fontId="3" fillId="0" borderId="0" xfId="57" applyFont="1">
      <alignment vertical="top"/>
      <protection/>
    </xf>
    <xf numFmtId="0" fontId="2" fillId="0" borderId="13" xfId="56" applyFont="1" applyFill="1" applyBorder="1" applyAlignment="1">
      <alignment wrapText="1"/>
      <protection/>
    </xf>
    <xf numFmtId="49" fontId="25" fillId="0" borderId="0" xfId="57" applyFont="1">
      <alignment vertical="top"/>
      <protection/>
    </xf>
    <xf numFmtId="49" fontId="4" fillId="0" borderId="0" xfId="57" applyFont="1">
      <alignment vertical="top"/>
      <protection/>
    </xf>
    <xf numFmtId="2" fontId="4" fillId="0" borderId="13" xfId="57" applyNumberFormat="1" applyFont="1" applyBorder="1" applyAlignment="1">
      <alignment horizontal="left" vertical="top"/>
      <protection/>
    </xf>
    <xf numFmtId="0" fontId="4" fillId="0" borderId="13" xfId="56" applyFont="1" applyBorder="1" applyAlignment="1">
      <alignment horizontal="left" vertical="center" wrapText="1" indent="1"/>
      <protection/>
    </xf>
    <xf numFmtId="2" fontId="5" fillId="0" borderId="13" xfId="57" applyNumberFormat="1" applyFont="1" applyBorder="1" applyAlignment="1">
      <alignment horizontal="left" vertical="top"/>
      <protection/>
    </xf>
    <xf numFmtId="0" fontId="5" fillId="0" borderId="13" xfId="56" applyFont="1" applyBorder="1" applyAlignment="1">
      <alignment vertical="center" wrapText="1"/>
      <protection/>
    </xf>
    <xf numFmtId="49" fontId="26" fillId="0" borderId="0" xfId="57" applyFont="1">
      <alignment vertical="top"/>
      <protection/>
    </xf>
    <xf numFmtId="49" fontId="5" fillId="0" borderId="0" xfId="57" applyFont="1">
      <alignment vertical="top"/>
      <protection/>
    </xf>
    <xf numFmtId="0" fontId="2" fillId="0" borderId="13" xfId="56" applyFont="1" applyBorder="1" applyAlignment="1">
      <alignment vertical="center" wrapText="1"/>
      <protection/>
    </xf>
    <xf numFmtId="0" fontId="4" fillId="0" borderId="13" xfId="56" applyFont="1" applyBorder="1" applyAlignment="1">
      <alignment vertical="center" wrapText="1"/>
      <protection/>
    </xf>
    <xf numFmtId="2" fontId="4" fillId="0" borderId="30" xfId="57" applyNumberFormat="1" applyFont="1" applyBorder="1" applyAlignment="1">
      <alignment horizontal="left" vertical="top"/>
      <protection/>
    </xf>
    <xf numFmtId="0" fontId="4" fillId="0" borderId="30" xfId="56" applyFont="1" applyBorder="1" applyAlignment="1">
      <alignment vertical="center" wrapText="1"/>
      <protection/>
    </xf>
    <xf numFmtId="2" fontId="3" fillId="0" borderId="44" xfId="57" applyNumberFormat="1" applyFont="1" applyBorder="1" applyAlignment="1">
      <alignment horizontal="left" vertical="top"/>
      <protection/>
    </xf>
    <xf numFmtId="0" fontId="3" fillId="0" borderId="46" xfId="56" applyFont="1" applyBorder="1" applyAlignment="1">
      <alignment vertical="center" wrapText="1"/>
      <protection/>
    </xf>
    <xf numFmtId="2" fontId="5" fillId="0" borderId="25" xfId="57" applyNumberFormat="1" applyFont="1" applyBorder="1" applyAlignment="1">
      <alignment horizontal="left" vertical="top"/>
      <protection/>
    </xf>
    <xf numFmtId="0" fontId="5" fillId="0" borderId="47" xfId="56" applyFont="1" applyBorder="1" applyAlignment="1">
      <alignment vertical="center" wrapText="1"/>
      <protection/>
    </xf>
    <xf numFmtId="2" fontId="18" fillId="0" borderId="14" xfId="57" applyNumberFormat="1" applyFont="1" applyBorder="1" applyAlignment="1">
      <alignment horizontal="left" vertical="top"/>
      <protection/>
    </xf>
    <xf numFmtId="2" fontId="18" fillId="0" borderId="14" xfId="57" applyNumberFormat="1" applyFont="1" applyBorder="1">
      <alignment vertical="top"/>
      <protection/>
    </xf>
    <xf numFmtId="2" fontId="5" fillId="0" borderId="13" xfId="57" applyNumberFormat="1" applyFont="1" applyBorder="1">
      <alignment vertical="top"/>
      <protection/>
    </xf>
    <xf numFmtId="0" fontId="2" fillId="0" borderId="0" xfId="57" applyNumberFormat="1" applyFont="1">
      <alignment vertical="top"/>
      <protection/>
    </xf>
    <xf numFmtId="2" fontId="5" fillId="0" borderId="44" xfId="57" applyNumberFormat="1" applyFont="1" applyBorder="1" applyAlignment="1">
      <alignment/>
      <protection/>
    </xf>
    <xf numFmtId="0" fontId="4" fillId="0" borderId="30" xfId="56" applyFont="1" applyBorder="1" applyAlignment="1">
      <alignment horizontal="left" wrapText="1"/>
      <protection/>
    </xf>
    <xf numFmtId="2" fontId="2" fillId="0" borderId="48" xfId="57" applyNumberFormat="1" applyFont="1" applyBorder="1" applyAlignment="1">
      <alignment/>
      <protection/>
    </xf>
    <xf numFmtId="2" fontId="5" fillId="0" borderId="45" xfId="57" applyNumberFormat="1" applyFont="1" applyBorder="1" applyAlignment="1">
      <alignment/>
      <protection/>
    </xf>
    <xf numFmtId="0" fontId="3" fillId="0" borderId="14" xfId="56" applyFont="1" applyBorder="1" applyAlignment="1">
      <alignment horizontal="left" vertical="center" wrapText="1"/>
      <protection/>
    </xf>
    <xf numFmtId="49" fontId="3" fillId="0" borderId="13" xfId="57" applyFont="1" applyFill="1" applyBorder="1" applyAlignment="1">
      <alignment horizontal="left" wrapText="1" indent="2"/>
      <protection/>
    </xf>
    <xf numFmtId="2" fontId="5" fillId="0" borderId="26" xfId="57" applyNumberFormat="1" applyFont="1" applyBorder="1" applyAlignment="1">
      <alignment/>
      <protection/>
    </xf>
    <xf numFmtId="0" fontId="3" fillId="0" borderId="13" xfId="56" applyFont="1" applyBorder="1" applyAlignment="1">
      <alignment wrapText="1"/>
      <protection/>
    </xf>
    <xf numFmtId="0" fontId="2" fillId="0" borderId="0" xfId="56" applyFont="1" applyAlignment="1">
      <alignment horizontal="center"/>
      <protection/>
    </xf>
    <xf numFmtId="0" fontId="2" fillId="0" borderId="49" xfId="56" applyFont="1" applyBorder="1" applyAlignment="1">
      <alignment horizontal="center" vertical="center" wrapText="1"/>
      <protection/>
    </xf>
    <xf numFmtId="2" fontId="2" fillId="0" borderId="50" xfId="57" applyNumberFormat="1" applyFont="1" applyBorder="1" applyAlignment="1">
      <alignment/>
      <protection/>
    </xf>
    <xf numFmtId="2" fontId="5" fillId="0" borderId="28" xfId="57" applyNumberFormat="1" applyFont="1" applyBorder="1" applyAlignment="1">
      <alignment/>
      <protection/>
    </xf>
    <xf numFmtId="2" fontId="6" fillId="0" borderId="0" xfId="0" applyNumberFormat="1" applyFont="1" applyAlignment="1">
      <alignment vertical="top"/>
    </xf>
    <xf numFmtId="49" fontId="2" fillId="0" borderId="48" xfId="57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wrapText="1"/>
    </xf>
    <xf numFmtId="0" fontId="2" fillId="0" borderId="13" xfId="56" applyFont="1" applyBorder="1" applyAlignment="1">
      <alignment horizontal="center" vertical="center" wrapText="1"/>
      <protection/>
    </xf>
    <xf numFmtId="49" fontId="2" fillId="0" borderId="13" xfId="57" applyFont="1" applyBorder="1" applyAlignment="1">
      <alignment horizontal="center" vertical="center"/>
      <protection/>
    </xf>
    <xf numFmtId="0" fontId="9" fillId="0" borderId="27" xfId="0" applyFont="1" applyBorder="1" applyAlignment="1">
      <alignment/>
    </xf>
    <xf numFmtId="49" fontId="0" fillId="0" borderId="51" xfId="0" applyNumberFormat="1" applyBorder="1" applyAlignment="1">
      <alignment vertical="top"/>
    </xf>
    <xf numFmtId="4" fontId="6" fillId="0" borderId="13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4" fillId="0" borderId="23" xfId="0" applyFont="1" applyBorder="1" applyAlignment="1">
      <alignment horizontal="left" indent="2"/>
    </xf>
    <xf numFmtId="0" fontId="4" fillId="0" borderId="24" xfId="0" applyFont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/>
    </xf>
    <xf numFmtId="1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14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9" fontId="6" fillId="0" borderId="51" xfId="0" applyNumberFormat="1" applyFont="1" applyBorder="1" applyAlignment="1">
      <alignment horizontal="left"/>
    </xf>
    <xf numFmtId="177" fontId="6" fillId="0" borderId="14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27" xfId="0" applyNumberFormat="1" applyFont="1" applyBorder="1" applyAlignment="1">
      <alignment horizontal="left"/>
    </xf>
    <xf numFmtId="4" fontId="6" fillId="0" borderId="26" xfId="0" applyNumberFormat="1" applyFont="1" applyBorder="1" applyAlignment="1">
      <alignment wrapText="1"/>
    </xf>
    <xf numFmtId="4" fontId="6" fillId="0" borderId="26" xfId="0" applyNumberFormat="1" applyFont="1" applyBorder="1" applyAlignment="1">
      <alignment horizontal="left" indent="1"/>
    </xf>
    <xf numFmtId="4" fontId="6" fillId="0" borderId="19" xfId="0" applyNumberFormat="1" applyFont="1" applyBorder="1" applyAlignment="1">
      <alignment wrapText="1"/>
    </xf>
    <xf numFmtId="4" fontId="6" fillId="0" borderId="19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4" fontId="34" fillId="0" borderId="14" xfId="0" applyNumberFormat="1" applyFont="1" applyBorder="1" applyAlignment="1">
      <alignment wrapText="1"/>
    </xf>
    <xf numFmtId="4" fontId="34" fillId="0" borderId="13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1" fontId="31" fillId="0" borderId="13" xfId="0" applyNumberFormat="1" applyFont="1" applyBorder="1" applyAlignment="1">
      <alignment/>
    </xf>
    <xf numFmtId="4" fontId="31" fillId="0" borderId="13" xfId="0" applyNumberFormat="1" applyFont="1" applyBorder="1" applyAlignment="1">
      <alignment/>
    </xf>
    <xf numFmtId="0" fontId="3" fillId="0" borderId="23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0" fontId="3" fillId="0" borderId="24" xfId="0" applyFont="1" applyBorder="1" applyAlignment="1">
      <alignment horizontal="left" indent="2"/>
    </xf>
    <xf numFmtId="4" fontId="31" fillId="0" borderId="13" xfId="0" applyNumberFormat="1" applyFont="1" applyFill="1" applyBorder="1" applyAlignment="1">
      <alignment/>
    </xf>
    <xf numFmtId="4" fontId="3" fillId="0" borderId="45" xfId="57" applyNumberFormat="1" applyFont="1" applyBorder="1" applyAlignment="1">
      <alignment/>
      <protection/>
    </xf>
    <xf numFmtId="4" fontId="5" fillId="0" borderId="46" xfId="57" applyNumberFormat="1" applyFont="1" applyBorder="1" applyAlignment="1">
      <alignment/>
      <protection/>
    </xf>
    <xf numFmtId="4" fontId="5" fillId="0" borderId="53" xfId="57" applyNumberFormat="1" applyFont="1" applyBorder="1" applyAlignment="1">
      <alignment/>
      <protection/>
    </xf>
    <xf numFmtId="4" fontId="2" fillId="0" borderId="14" xfId="57" applyNumberFormat="1" applyFont="1" applyBorder="1" applyAlignment="1">
      <alignment/>
      <protection/>
    </xf>
    <xf numFmtId="4" fontId="2" fillId="0" borderId="52" xfId="57" applyNumberFormat="1" applyFont="1" applyBorder="1" applyAlignment="1">
      <alignment/>
      <protection/>
    </xf>
    <xf numFmtId="4" fontId="2" fillId="0" borderId="54" xfId="57" applyNumberFormat="1" applyFont="1" applyBorder="1" applyAlignment="1">
      <alignment/>
      <protection/>
    </xf>
    <xf numFmtId="4" fontId="2" fillId="0" borderId="55" xfId="57" applyNumberFormat="1" applyFont="1" applyBorder="1" applyAlignment="1">
      <alignment/>
      <protection/>
    </xf>
    <xf numFmtId="4" fontId="4" fillId="0" borderId="13" xfId="56" applyNumberFormat="1" applyFont="1" applyFill="1" applyBorder="1" applyAlignment="1">
      <alignment/>
      <protection/>
    </xf>
    <xf numFmtId="4" fontId="2" fillId="0" borderId="13" xfId="57" applyNumberFormat="1" applyFont="1" applyBorder="1" applyAlignment="1">
      <alignment/>
      <protection/>
    </xf>
    <xf numFmtId="4" fontId="4" fillId="0" borderId="19" xfId="56" applyNumberFormat="1" applyFont="1" applyFill="1" applyBorder="1" applyAlignment="1">
      <alignment/>
      <protection/>
    </xf>
    <xf numFmtId="4" fontId="2" fillId="0" borderId="23" xfId="57" applyNumberFormat="1" applyFont="1" applyBorder="1" applyAlignment="1">
      <alignment/>
      <protection/>
    </xf>
    <xf numFmtId="4" fontId="4" fillId="0" borderId="13" xfId="56" applyNumberFormat="1" applyFont="1" applyFill="1" applyBorder="1">
      <alignment/>
      <protection/>
    </xf>
    <xf numFmtId="4" fontId="4" fillId="0" borderId="19" xfId="56" applyNumberFormat="1" applyFont="1" applyFill="1" applyBorder="1">
      <alignment/>
      <protection/>
    </xf>
    <xf numFmtId="4" fontId="2" fillId="0" borderId="19" xfId="57" applyNumberFormat="1" applyFont="1" applyBorder="1" applyAlignment="1">
      <alignment/>
      <protection/>
    </xf>
    <xf numFmtId="4" fontId="2" fillId="33" borderId="19" xfId="57" applyNumberFormat="1" applyFont="1" applyFill="1" applyBorder="1" applyAlignment="1">
      <alignment/>
      <protection/>
    </xf>
    <xf numFmtId="4" fontId="4" fillId="33" borderId="19" xfId="56" applyNumberFormat="1" applyFont="1" applyFill="1" applyBorder="1">
      <alignment/>
      <protection/>
    </xf>
    <xf numFmtId="4" fontId="2" fillId="0" borderId="30" xfId="57" applyNumberFormat="1" applyFont="1" applyBorder="1" applyAlignment="1">
      <alignment/>
      <protection/>
    </xf>
    <xf numFmtId="4" fontId="3" fillId="0" borderId="45" xfId="56" applyNumberFormat="1" applyFont="1" applyFill="1" applyBorder="1">
      <alignment/>
      <protection/>
    </xf>
    <xf numFmtId="4" fontId="5" fillId="0" borderId="45" xfId="57" applyNumberFormat="1" applyFont="1" applyBorder="1" applyAlignment="1">
      <alignment/>
      <protection/>
    </xf>
    <xf numFmtId="4" fontId="27" fillId="0" borderId="13" xfId="57" applyNumberFormat="1" applyFont="1" applyBorder="1" applyAlignment="1">
      <alignment/>
      <protection/>
    </xf>
    <xf numFmtId="4" fontId="2" fillId="0" borderId="13" xfId="56" applyNumberFormat="1" applyFont="1" applyFill="1" applyBorder="1" applyAlignment="1">
      <alignment/>
      <protection/>
    </xf>
    <xf numFmtId="4" fontId="4" fillId="33" borderId="13" xfId="56" applyNumberFormat="1" applyFont="1" applyFill="1" applyBorder="1" applyAlignment="1">
      <alignment/>
      <protection/>
    </xf>
    <xf numFmtId="4" fontId="4" fillId="33" borderId="19" xfId="56" applyNumberFormat="1" applyFont="1" applyFill="1" applyBorder="1" applyAlignment="1">
      <alignment/>
      <protection/>
    </xf>
    <xf numFmtId="4" fontId="4" fillId="0" borderId="13" xfId="57" applyNumberFormat="1" applyFont="1" applyBorder="1" applyAlignment="1">
      <alignment/>
      <protection/>
    </xf>
    <xf numFmtId="4" fontId="2" fillId="0" borderId="26" xfId="57" applyNumberFormat="1" applyFont="1" applyBorder="1" applyAlignment="1">
      <alignment/>
      <protection/>
    </xf>
    <xf numFmtId="4" fontId="4" fillId="0" borderId="19" xfId="57" applyNumberFormat="1" applyFont="1" applyBorder="1" applyAlignment="1">
      <alignment/>
      <protection/>
    </xf>
    <xf numFmtId="4" fontId="5" fillId="0" borderId="13" xfId="57" applyNumberFormat="1" applyFont="1" applyBorder="1" applyAlignment="1">
      <alignment/>
      <protection/>
    </xf>
    <xf numFmtId="4" fontId="5" fillId="0" borderId="23" xfId="57" applyNumberFormat="1" applyFont="1" applyBorder="1" applyAlignment="1">
      <alignment/>
      <protection/>
    </xf>
    <xf numFmtId="4" fontId="5" fillId="0" borderId="19" xfId="57" applyNumberFormat="1" applyFont="1" applyBorder="1" applyAlignment="1">
      <alignment/>
      <protection/>
    </xf>
    <xf numFmtId="4" fontId="4" fillId="0" borderId="23" xfId="57" applyNumberFormat="1" applyFont="1" applyBorder="1" applyAlignment="1">
      <alignment/>
      <protection/>
    </xf>
    <xf numFmtId="4" fontId="4" fillId="0" borderId="30" xfId="57" applyNumberFormat="1" applyFont="1" applyBorder="1" applyAlignment="1">
      <alignment/>
      <protection/>
    </xf>
    <xf numFmtId="4" fontId="4" fillId="0" borderId="56" xfId="57" applyNumberFormat="1" applyFont="1" applyBorder="1" applyAlignment="1">
      <alignment/>
      <protection/>
    </xf>
    <xf numFmtId="4" fontId="4" fillId="0" borderId="49" xfId="57" applyNumberFormat="1" applyFont="1" applyBorder="1" applyAlignment="1">
      <alignment/>
      <protection/>
    </xf>
    <xf numFmtId="4" fontId="3" fillId="0" borderId="46" xfId="57" applyNumberFormat="1" applyFont="1" applyBorder="1" applyAlignment="1">
      <alignment/>
      <protection/>
    </xf>
    <xf numFmtId="4" fontId="3" fillId="0" borderId="57" xfId="57" applyNumberFormat="1" applyFont="1" applyBorder="1" applyAlignment="1">
      <alignment/>
      <protection/>
    </xf>
    <xf numFmtId="4" fontId="5" fillId="0" borderId="57" xfId="57" applyNumberFormat="1" applyFont="1" applyBorder="1" applyAlignment="1">
      <alignment/>
      <protection/>
    </xf>
    <xf numFmtId="4" fontId="2" fillId="0" borderId="28" xfId="57" applyNumberFormat="1" applyFont="1" applyBorder="1" applyAlignment="1">
      <alignment/>
      <protection/>
    </xf>
    <xf numFmtId="4" fontId="5" fillId="0" borderId="13" xfId="56" applyNumberFormat="1" applyFont="1" applyBorder="1" applyAlignment="1">
      <alignment/>
      <protection/>
    </xf>
    <xf numFmtId="4" fontId="4" fillId="0" borderId="13" xfId="56" applyNumberFormat="1" applyFont="1" applyBorder="1">
      <alignment/>
      <protection/>
    </xf>
    <xf numFmtId="4" fontId="4" fillId="0" borderId="13" xfId="0" applyNumberFormat="1" applyFont="1" applyBorder="1" applyAlignment="1">
      <alignment/>
    </xf>
    <xf numFmtId="178" fontId="5" fillId="0" borderId="45" xfId="57" applyNumberFormat="1" applyFont="1" applyBorder="1">
      <alignment vertical="top"/>
      <protection/>
    </xf>
    <xf numFmtId="178" fontId="2" fillId="0" borderId="14" xfId="57" applyNumberFormat="1" applyFont="1" applyBorder="1" applyAlignment="1">
      <alignment/>
      <protection/>
    </xf>
    <xf numFmtId="178" fontId="2" fillId="0" borderId="13" xfId="57" applyNumberFormat="1" applyFont="1" applyBorder="1" applyAlignment="1">
      <alignment/>
      <protection/>
    </xf>
    <xf numFmtId="178" fontId="5" fillId="0" borderId="45" xfId="57" applyNumberFormat="1" applyFont="1" applyBorder="1" applyAlignment="1">
      <alignment/>
      <protection/>
    </xf>
    <xf numFmtId="178" fontId="2" fillId="0" borderId="14" xfId="57" applyNumberFormat="1" applyFont="1" applyBorder="1">
      <alignment vertical="top"/>
      <protection/>
    </xf>
    <xf numFmtId="178" fontId="2" fillId="0" borderId="13" xfId="57" applyNumberFormat="1" applyFont="1" applyBorder="1">
      <alignment vertical="top"/>
      <protection/>
    </xf>
    <xf numFmtId="178" fontId="2" fillId="0" borderId="30" xfId="57" applyNumberFormat="1" applyFont="1" applyBorder="1">
      <alignment vertical="top"/>
      <protection/>
    </xf>
    <xf numFmtId="178" fontId="2" fillId="0" borderId="48" xfId="57" applyNumberFormat="1" applyFont="1" applyBorder="1">
      <alignment vertical="top"/>
      <protection/>
    </xf>
    <xf numFmtId="178" fontId="4" fillId="0" borderId="13" xfId="57" applyNumberFormat="1" applyFont="1" applyBorder="1" applyAlignment="1">
      <alignment/>
      <protection/>
    </xf>
    <xf numFmtId="178" fontId="4" fillId="0" borderId="14" xfId="57" applyNumberFormat="1" applyFont="1" applyBorder="1">
      <alignment vertical="top"/>
      <protection/>
    </xf>
    <xf numFmtId="178" fontId="4" fillId="0" borderId="13" xfId="57" applyNumberFormat="1" applyFont="1" applyBorder="1">
      <alignment vertical="top"/>
      <protection/>
    </xf>
    <xf numFmtId="178" fontId="5" fillId="0" borderId="13" xfId="57" applyNumberFormat="1" applyFont="1" applyBorder="1">
      <alignment vertical="top"/>
      <protection/>
    </xf>
    <xf numFmtId="178" fontId="4" fillId="0" borderId="48" xfId="57" applyNumberFormat="1" applyFont="1" applyBorder="1">
      <alignment vertical="top"/>
      <protection/>
    </xf>
    <xf numFmtId="178" fontId="3" fillId="0" borderId="45" xfId="57" applyNumberFormat="1" applyFont="1" applyBorder="1">
      <alignment vertical="top"/>
      <protection/>
    </xf>
    <xf numFmtId="2" fontId="41" fillId="0" borderId="14" xfId="57" applyNumberFormat="1" applyFont="1" applyBorder="1" applyAlignment="1">
      <alignment/>
      <protection/>
    </xf>
    <xf numFmtId="2" fontId="41" fillId="0" borderId="28" xfId="57" applyNumberFormat="1" applyFont="1" applyBorder="1" applyAlignment="1">
      <alignment/>
      <protection/>
    </xf>
    <xf numFmtId="2" fontId="41" fillId="0" borderId="13" xfId="57" applyNumberFormat="1" applyFont="1" applyBorder="1" applyAlignment="1">
      <alignment/>
      <protection/>
    </xf>
    <xf numFmtId="2" fontId="41" fillId="0" borderId="23" xfId="57" applyNumberFormat="1" applyFont="1" applyBorder="1" applyAlignment="1">
      <alignment/>
      <protection/>
    </xf>
    <xf numFmtId="2" fontId="41" fillId="0" borderId="48" xfId="57" applyNumberFormat="1" applyFont="1" applyBorder="1" applyAlignment="1">
      <alignment/>
      <protection/>
    </xf>
    <xf numFmtId="2" fontId="41" fillId="0" borderId="50" xfId="57" applyNumberFormat="1" applyFont="1" applyBorder="1" applyAlignment="1">
      <alignment/>
      <protection/>
    </xf>
    <xf numFmtId="4" fontId="6" fillId="0" borderId="13" xfId="0" applyNumberFormat="1" applyFont="1" applyBorder="1" applyAlignment="1">
      <alignment horizontal="left"/>
    </xf>
    <xf numFmtId="2" fontId="41" fillId="0" borderId="13" xfId="57" applyNumberFormat="1" applyFont="1" applyBorder="1" applyAlignment="1">
      <alignment/>
      <protection/>
    </xf>
    <xf numFmtId="0" fontId="5" fillId="37" borderId="13" xfId="0" applyFont="1" applyFill="1" applyBorder="1" applyAlignment="1">
      <alignment vertical="center"/>
    </xf>
    <xf numFmtId="4" fontId="5" fillId="37" borderId="13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31" fillId="0" borderId="13" xfId="0" applyFont="1" applyBorder="1" applyAlignment="1">
      <alignment/>
    </xf>
    <xf numFmtId="169" fontId="31" fillId="0" borderId="13" xfId="0" applyNumberFormat="1" applyFont="1" applyBorder="1" applyAlignment="1">
      <alignment/>
    </xf>
    <xf numFmtId="168" fontId="31" fillId="0" borderId="13" xfId="0" applyNumberFormat="1" applyFont="1" applyBorder="1" applyAlignment="1">
      <alignment/>
    </xf>
    <xf numFmtId="2" fontId="31" fillId="0" borderId="13" xfId="0" applyNumberFormat="1" applyFont="1" applyBorder="1" applyAlignment="1">
      <alignment/>
    </xf>
    <xf numFmtId="0" fontId="31" fillId="0" borderId="23" xfId="0" applyFont="1" applyBorder="1" applyAlignment="1">
      <alignment horizontal="left"/>
    </xf>
    <xf numFmtId="178" fontId="31" fillId="0" borderId="13" xfId="0" applyNumberFormat="1" applyFont="1" applyBorder="1" applyAlignment="1">
      <alignment/>
    </xf>
    <xf numFmtId="49" fontId="42" fillId="0" borderId="51" xfId="0" applyNumberFormat="1" applyFont="1" applyBorder="1" applyAlignment="1">
      <alignment vertical="top"/>
    </xf>
    <xf numFmtId="0" fontId="5" fillId="35" borderId="23" xfId="0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5" fillId="35" borderId="13" xfId="0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horizontal="right" vertical="center"/>
    </xf>
    <xf numFmtId="4" fontId="5" fillId="35" borderId="23" xfId="0" applyNumberFormat="1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23" xfId="0" applyFont="1" applyBorder="1" applyAlignment="1">
      <alignment horizontal="left" wrapText="1" indent="1"/>
    </xf>
    <xf numFmtId="0" fontId="2" fillId="0" borderId="23" xfId="0" applyFont="1" applyBorder="1" applyAlignment="1">
      <alignment horizontal="left" wrapText="1" indent="2"/>
    </xf>
    <xf numFmtId="0" fontId="9" fillId="0" borderId="0" xfId="57" applyNumberFormat="1" applyFont="1">
      <alignment vertical="top"/>
      <protection/>
    </xf>
    <xf numFmtId="0" fontId="1" fillId="0" borderId="0" xfId="0" applyFont="1" applyAlignment="1">
      <alignment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9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53" applyFont="1" applyFill="1" applyAlignment="1" applyProtection="1">
      <alignment wrapText="1"/>
      <protection/>
    </xf>
    <xf numFmtId="0" fontId="9" fillId="0" borderId="0" xfId="53" applyFont="1" applyFill="1" applyAlignment="1" applyProtection="1">
      <alignment/>
      <protection/>
    </xf>
    <xf numFmtId="49" fontId="6" fillId="0" borderId="0" xfId="0" applyNumberFormat="1" applyFont="1" applyAlignment="1">
      <alignment/>
    </xf>
    <xf numFmtId="0" fontId="8" fillId="0" borderId="0" xfId="53" applyFont="1" applyFill="1" applyAlignment="1" applyProtection="1">
      <alignment wrapText="1"/>
      <protection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9" fillId="0" borderId="0" xfId="53" applyFont="1" applyAlignment="1" applyProtection="1">
      <alignment vertical="center"/>
      <protection/>
    </xf>
    <xf numFmtId="0" fontId="9" fillId="0" borderId="0" xfId="57" applyNumberFormat="1" applyFont="1" applyAlignment="1">
      <alignment horizontal="left" vertical="top"/>
      <protection/>
    </xf>
    <xf numFmtId="0" fontId="7" fillId="0" borderId="0" xfId="0" applyFont="1" applyAlignment="1">
      <alignment/>
    </xf>
    <xf numFmtId="4" fontId="9" fillId="0" borderId="14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179" fontId="6" fillId="0" borderId="0" xfId="0" applyNumberFormat="1" applyFont="1" applyBorder="1" applyAlignment="1">
      <alignment horizontal="left"/>
    </xf>
    <xf numFmtId="49" fontId="10" fillId="33" borderId="58" xfId="0" applyNumberFormat="1" applyFont="1" applyFill="1" applyBorder="1" applyAlignment="1" applyProtection="1">
      <alignment vertical="center" wrapText="1"/>
      <protection/>
    </xf>
    <xf numFmtId="49" fontId="10" fillId="33" borderId="0" xfId="0" applyNumberFormat="1" applyFont="1" applyFill="1" applyBorder="1" applyAlignment="1" applyProtection="1">
      <alignment vertical="center" wrapText="1"/>
      <protection/>
    </xf>
    <xf numFmtId="49" fontId="10" fillId="33" borderId="32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5" fillId="33" borderId="32" xfId="55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0" fillId="33" borderId="59" xfId="55" applyNumberFormat="1" applyFont="1" applyFill="1" applyBorder="1" applyAlignment="1" applyProtection="1">
      <alignment horizontal="center" vertical="center" wrapText="1"/>
      <protection/>
    </xf>
    <xf numFmtId="0" fontId="10" fillId="33" borderId="60" xfId="55" applyNumberFormat="1" applyFont="1" applyFill="1" applyBorder="1" applyAlignment="1" applyProtection="1">
      <alignment horizontal="center" vertical="center" wrapText="1"/>
      <protection/>
    </xf>
    <xf numFmtId="0" fontId="10" fillId="33" borderId="31" xfId="55" applyNumberFormat="1" applyFont="1" applyFill="1" applyBorder="1" applyAlignment="1" applyProtection="1">
      <alignment horizontal="center" vertical="center" wrapText="1"/>
      <protection/>
    </xf>
    <xf numFmtId="49" fontId="10" fillId="33" borderId="59" xfId="55" applyNumberFormat="1" applyFont="1" applyFill="1" applyBorder="1" applyAlignment="1" applyProtection="1">
      <alignment horizontal="center" vertical="center" wrapText="1"/>
      <protection/>
    </xf>
    <xf numFmtId="49" fontId="10" fillId="33" borderId="60" xfId="55" applyNumberFormat="1" applyFont="1" applyFill="1" applyBorder="1" applyAlignment="1" applyProtection="1">
      <alignment horizontal="center" vertical="center" wrapText="1"/>
      <protection/>
    </xf>
    <xf numFmtId="49" fontId="10" fillId="33" borderId="31" xfId="55" applyNumberFormat="1" applyFont="1" applyFill="1" applyBorder="1" applyAlignment="1" applyProtection="1">
      <alignment horizontal="center" vertical="center" wrapText="1"/>
      <protection/>
    </xf>
    <xf numFmtId="49" fontId="10" fillId="33" borderId="61" xfId="55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Alignment="1" applyProtection="1">
      <alignment horizontal="right" vertical="center" wrapText="1"/>
      <protection/>
    </xf>
    <xf numFmtId="0" fontId="13" fillId="0" borderId="0" xfId="53" applyFont="1" applyAlignment="1" applyProtection="1">
      <alignment horizontal="center" vertical="center" wrapText="1"/>
      <protection/>
    </xf>
    <xf numFmtId="49" fontId="10" fillId="33" borderId="62" xfId="55" applyNumberFormat="1" applyFont="1" applyFill="1" applyBorder="1" applyAlignment="1" applyProtection="1">
      <alignment horizontal="center" vertical="center" wrapText="1"/>
      <protection/>
    </xf>
    <xf numFmtId="49" fontId="21" fillId="33" borderId="63" xfId="0" applyNumberFormat="1" applyFont="1" applyFill="1" applyBorder="1" applyAlignment="1" applyProtection="1">
      <alignment horizontal="center" vertical="center" wrapText="1"/>
      <protection/>
    </xf>
    <xf numFmtId="49" fontId="21" fillId="33" borderId="64" xfId="0" applyNumberFormat="1" applyFont="1" applyFill="1" applyBorder="1" applyAlignment="1" applyProtection="1">
      <alignment horizontal="center" vertical="center" wrapText="1"/>
      <protection/>
    </xf>
    <xf numFmtId="49" fontId="21" fillId="0" borderId="63" xfId="0" applyNumberFormat="1" applyFont="1" applyFill="1" applyBorder="1" applyAlignment="1" applyProtection="1">
      <alignment horizontal="center" vertical="center" wrapText="1"/>
      <protection/>
    </xf>
    <xf numFmtId="49" fontId="21" fillId="0" borderId="64" xfId="0" applyNumberFormat="1" applyFont="1" applyFill="1" applyBorder="1" applyAlignment="1" applyProtection="1">
      <alignment horizontal="center" vertical="center" wrapText="1"/>
      <protection/>
    </xf>
    <xf numFmtId="49" fontId="21" fillId="33" borderId="65" xfId="0" applyNumberFormat="1" applyFont="1" applyFill="1" applyBorder="1" applyAlignment="1" applyProtection="1">
      <alignment horizontal="center" vertical="center" wrapText="1"/>
      <protection/>
    </xf>
    <xf numFmtId="49" fontId="21" fillId="33" borderId="66" xfId="0" applyNumberFormat="1" applyFont="1" applyFill="1" applyBorder="1" applyAlignment="1" applyProtection="1">
      <alignment horizontal="center" vertical="center" wrapText="1"/>
      <protection/>
    </xf>
    <xf numFmtId="49" fontId="21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33" borderId="68" xfId="0" applyNumberFormat="1" applyFont="1" applyFill="1" applyBorder="1" applyAlignment="1" applyProtection="1">
      <alignment horizontal="center" vertical="center" wrapText="1"/>
      <protection/>
    </xf>
    <xf numFmtId="0" fontId="8" fillId="33" borderId="69" xfId="0" applyNumberFormat="1" applyFont="1" applyFill="1" applyBorder="1" applyAlignment="1" applyProtection="1">
      <alignment horizontal="center" vertical="center" wrapText="1"/>
      <protection/>
    </xf>
    <xf numFmtId="0" fontId="8" fillId="33" borderId="70" xfId="0" applyNumberFormat="1" applyFont="1" applyFill="1" applyBorder="1" applyAlignment="1" applyProtection="1">
      <alignment horizontal="center" vertical="center" wrapText="1"/>
      <protection/>
    </xf>
    <xf numFmtId="49" fontId="21" fillId="33" borderId="71" xfId="0" applyNumberFormat="1" applyFont="1" applyFill="1" applyBorder="1" applyAlignment="1" applyProtection="1">
      <alignment horizontal="center" vertical="center" wrapText="1"/>
      <protection/>
    </xf>
    <xf numFmtId="49" fontId="21" fillId="33" borderId="72" xfId="0" applyNumberFormat="1" applyFont="1" applyFill="1" applyBorder="1" applyAlignment="1" applyProtection="1">
      <alignment horizontal="center" vertical="center" wrapText="1"/>
      <protection/>
    </xf>
    <xf numFmtId="49" fontId="21" fillId="33" borderId="73" xfId="0" applyNumberFormat="1" applyFont="1" applyFill="1" applyBorder="1" applyAlignment="1" applyProtection="1">
      <alignment horizontal="center" vertical="center" wrapText="1"/>
      <protection/>
    </xf>
    <xf numFmtId="49" fontId="21" fillId="0" borderId="74" xfId="0" applyNumberFormat="1" applyFont="1" applyFill="1" applyBorder="1" applyAlignment="1" applyProtection="1">
      <alignment horizontal="center" vertical="center" wrapText="1"/>
      <protection/>
    </xf>
    <xf numFmtId="49" fontId="8" fillId="33" borderId="0" xfId="0" applyNumberFormat="1" applyFont="1" applyFill="1" applyBorder="1" applyAlignment="1" applyProtection="1">
      <alignment horizontal="right" vertical="center" wrapText="1"/>
      <protection/>
    </xf>
    <xf numFmtId="49" fontId="21" fillId="33" borderId="75" xfId="0" applyNumberFormat="1" applyFont="1" applyFill="1" applyBorder="1" applyAlignment="1" applyProtection="1">
      <alignment horizontal="center" vertical="center" wrapText="1"/>
      <protection/>
    </xf>
    <xf numFmtId="49" fontId="21" fillId="33" borderId="76" xfId="0" applyNumberFormat="1" applyFont="1" applyFill="1" applyBorder="1" applyAlignment="1" applyProtection="1">
      <alignment horizontal="center" vertical="center" wrapText="1"/>
      <protection/>
    </xf>
    <xf numFmtId="49" fontId="21" fillId="33" borderId="77" xfId="0" applyNumberFormat="1" applyFont="1" applyFill="1" applyBorder="1" applyAlignment="1" applyProtection="1">
      <alignment horizontal="center" vertical="center" wrapText="1"/>
      <protection/>
    </xf>
    <xf numFmtId="49" fontId="21" fillId="33" borderId="78" xfId="0" applyNumberFormat="1" applyFont="1" applyFill="1" applyBorder="1" applyAlignment="1" applyProtection="1">
      <alignment horizontal="center" vertical="center" wrapText="1"/>
      <protection/>
    </xf>
    <xf numFmtId="49" fontId="21" fillId="33" borderId="79" xfId="0" applyNumberFormat="1" applyFont="1" applyFill="1" applyBorder="1" applyAlignment="1" applyProtection="1">
      <alignment horizontal="center" vertical="center" wrapText="1"/>
      <protection/>
    </xf>
    <xf numFmtId="49" fontId="21" fillId="33" borderId="80" xfId="0" applyNumberFormat="1" applyFont="1" applyFill="1" applyBorder="1" applyAlignment="1" applyProtection="1">
      <alignment horizontal="center" vertical="center" wrapText="1"/>
      <protection/>
    </xf>
    <xf numFmtId="49" fontId="21" fillId="33" borderId="81" xfId="0" applyNumberFormat="1" applyFont="1" applyFill="1" applyBorder="1" applyAlignment="1" applyProtection="1">
      <alignment horizontal="center" vertical="center" wrapText="1"/>
      <protection/>
    </xf>
    <xf numFmtId="49" fontId="21" fillId="33" borderId="82" xfId="0" applyNumberFormat="1" applyFont="1" applyFill="1" applyBorder="1" applyAlignment="1" applyProtection="1">
      <alignment horizontal="center" vertical="center" wrapText="1"/>
      <protection/>
    </xf>
    <xf numFmtId="49" fontId="21" fillId="33" borderId="83" xfId="0" applyNumberFormat="1" applyFont="1" applyFill="1" applyBorder="1" applyAlignment="1" applyProtection="1">
      <alignment horizontal="center" vertical="center" wrapText="1"/>
      <protection/>
    </xf>
    <xf numFmtId="49" fontId="21" fillId="33" borderId="84" xfId="0" applyNumberFormat="1" applyFont="1" applyFill="1" applyBorder="1" applyAlignment="1" applyProtection="1">
      <alignment horizontal="center" vertical="center" wrapText="1"/>
      <protection/>
    </xf>
    <xf numFmtId="49" fontId="21" fillId="33" borderId="85" xfId="0" applyNumberFormat="1" applyFont="1" applyFill="1" applyBorder="1" applyAlignment="1" applyProtection="1">
      <alignment horizontal="center" vertical="center" wrapText="1"/>
      <protection/>
    </xf>
    <xf numFmtId="49" fontId="21" fillId="33" borderId="86" xfId="0" applyNumberFormat="1" applyFont="1" applyFill="1" applyBorder="1" applyAlignment="1" applyProtection="1">
      <alignment horizontal="center" vertical="center" wrapText="1"/>
      <protection/>
    </xf>
    <xf numFmtId="49" fontId="8" fillId="33" borderId="68" xfId="0" applyNumberFormat="1" applyFont="1" applyFill="1" applyBorder="1" applyAlignment="1" applyProtection="1">
      <alignment horizontal="center" vertical="center" wrapText="1"/>
      <protection/>
    </xf>
    <xf numFmtId="49" fontId="8" fillId="33" borderId="69" xfId="0" applyNumberFormat="1" applyFont="1" applyFill="1" applyBorder="1" applyAlignment="1" applyProtection="1">
      <alignment horizontal="center" vertical="center" wrapText="1"/>
      <protection/>
    </xf>
    <xf numFmtId="49" fontId="8" fillId="33" borderId="70" xfId="0" applyNumberFormat="1" applyFont="1" applyFill="1" applyBorder="1" applyAlignment="1" applyProtection="1">
      <alignment horizontal="center" vertical="center" wrapText="1"/>
      <protection/>
    </xf>
    <xf numFmtId="49" fontId="21" fillId="33" borderId="87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57" applyNumberFormat="1" applyFont="1" applyBorder="1" applyAlignment="1">
      <alignment horizontal="center" vertical="top"/>
      <protection/>
    </xf>
    <xf numFmtId="0" fontId="2" fillId="0" borderId="88" xfId="0" applyFont="1" applyBorder="1" applyAlignment="1">
      <alignment horizontal="center" vertical="top"/>
    </xf>
    <xf numFmtId="2" fontId="2" fillId="0" borderId="30" xfId="57" applyNumberFormat="1" applyFont="1" applyBorder="1" applyAlignment="1">
      <alignment horizontal="left" vertical="top"/>
      <protection/>
    </xf>
    <xf numFmtId="2" fontId="2" fillId="0" borderId="29" xfId="57" applyNumberFormat="1" applyFont="1" applyBorder="1" applyAlignment="1">
      <alignment horizontal="left" vertical="top"/>
      <protection/>
    </xf>
    <xf numFmtId="2" fontId="2" fillId="0" borderId="14" xfId="57" applyNumberFormat="1" applyFont="1" applyBorder="1" applyAlignment="1">
      <alignment horizontal="left" vertical="top"/>
      <protection/>
    </xf>
    <xf numFmtId="0" fontId="23" fillId="0" borderId="0" xfId="0" applyFont="1" applyAlignment="1">
      <alignment horizontal="center"/>
    </xf>
    <xf numFmtId="49" fontId="2" fillId="0" borderId="23" xfId="57" applyFont="1" applyBorder="1" applyAlignment="1">
      <alignment horizontal="center" vertical="center" wrapText="1"/>
      <protection/>
    </xf>
    <xf numFmtId="49" fontId="2" fillId="0" borderId="19" xfId="57" applyFont="1" applyBorder="1" applyAlignment="1">
      <alignment horizontal="center" vertical="center" wrapText="1"/>
      <protection/>
    </xf>
    <xf numFmtId="0" fontId="2" fillId="0" borderId="30" xfId="56" applyFont="1" applyBorder="1" applyAlignment="1">
      <alignment horizontal="center" vertical="center"/>
      <protection/>
    </xf>
    <xf numFmtId="0" fontId="2" fillId="0" borderId="29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2" fillId="0" borderId="19" xfId="56" applyFont="1" applyBorder="1" applyAlignment="1">
      <alignment horizontal="center" vertical="center" wrapText="1"/>
      <protection/>
    </xf>
    <xf numFmtId="2" fontId="2" fillId="0" borderId="23" xfId="57" applyNumberFormat="1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47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__________ __ ________ _______ 3" xfId="53"/>
    <cellStyle name="Обычный_BALANCE.WARM.2007YEAR(FACT)" xfId="54"/>
    <cellStyle name="Обычный_Kom kompleks" xfId="55"/>
    <cellStyle name="Обычный_Лист2" xfId="56"/>
    <cellStyle name="Обычный_ООО Теплоресурс Черногорск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_server\public\Documents%20and%20Settings\410_1\&#1052;&#1086;&#1080;%20&#1076;&#1086;&#1082;&#1091;&#1084;&#1077;&#1085;&#1090;&#1099;\&#1054;&#1090;&#1095;&#1077;&#1090;&#1099;\&#1052;&#1086;&#1085;&#1080;&#1090;&#1086;&#1088;&#1080;&#1085;&#1075;%20&#1046;&#1050;&#1059;%202013%20&#1075;&#1086;&#1076;\&#1060;&#1072;&#1082;&#1090;%202012\BALANCE.CALC.TARIFF.WARM.2012.FACT%20&#1040;&#1088;&#1096;&#1072;&#1085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БПр"/>
      <sheetName val="БТр"/>
      <sheetName val="ТС.ДФ"/>
      <sheetName val="РО год"/>
      <sheetName val="РО 01.01 - 30.06"/>
      <sheetName val="РО 01.07 - 31.08"/>
      <sheetName val="РО 01.09 - 31.12"/>
      <sheetName val="РР год"/>
      <sheetName val="РР 01.01 - 30.06"/>
      <sheetName val="РР 01.07 - 31.08"/>
      <sheetName val="РР 01.09 - 31.12"/>
      <sheetName val="Т 01.01 - 30.06"/>
      <sheetName val="Т 01.07 - 31.08"/>
      <sheetName val="Т 01.09 - 31.12"/>
      <sheetName val="ТМ1 01.01 - 30.06"/>
      <sheetName val="ТМ1 01.07 - 31.08"/>
      <sheetName val="ТМ1 01.09 - 31.12"/>
      <sheetName val="ТМ2 01.01 - 30.06"/>
      <sheetName val="ТМ2 01.07 - 31.08"/>
      <sheetName val="ТМ2 01.09 - 31.12"/>
      <sheetName val="ВС.БПр"/>
      <sheetName val="ВС.БТр"/>
      <sheetName val="ВС.ДФ"/>
      <sheetName val="ВС.РО год"/>
      <sheetName val="ВС.РО 01.01 - 30.06"/>
      <sheetName val="ВС.РО 01.07 - 31.08"/>
      <sheetName val="ВС.РО 01.09 - 31.12"/>
      <sheetName val="ВС.РР год"/>
      <sheetName val="ВС.РР 01.01 - 30.06"/>
      <sheetName val="ВС.РР 01.07 - 31.08"/>
      <sheetName val="ВС.РР 01.09 - 31.12"/>
      <sheetName val="ВС.ТМ1 01.01 - 30.06"/>
      <sheetName val="ВС.ТМ1 01.07 - 31.08"/>
      <sheetName val="ВС.ТМ1 01.09 - 31.12"/>
      <sheetName val="ВС.ТМ2 01.01 - 30.06"/>
      <sheetName val="ВС.ТМ2 01.07 - 31.08"/>
      <sheetName val="ВС.ТМ2 01.09 - 31.12"/>
      <sheetName val="ВО.БПр"/>
      <sheetName val="ВО.БТр"/>
      <sheetName val="ВО.ДФ"/>
      <sheetName val="ВО.РО год"/>
      <sheetName val="ВО.РО 01.01 - 30.06"/>
      <sheetName val="ВО.РО 01.07 - 31.08"/>
      <sheetName val="ВО.РО 01.09 - 31.12"/>
      <sheetName val="ВО.РР год"/>
      <sheetName val="ВО.РР 01.01 - 30.06"/>
      <sheetName val="ВО.РР 01.07 - 31.08"/>
      <sheetName val="ВО.РР 01.09 - 31.12"/>
      <sheetName val="ВО.ТМ1 01.01 - 30.06"/>
      <sheetName val="ВО.ТМ1 01.07 - 31.08"/>
      <sheetName val="ВО.ТМ1 01.09 - 31.12"/>
      <sheetName val="ВО.ТМ2 01.01 - 30.06"/>
      <sheetName val="ВО.ТМ2 01.07 - 31.08"/>
      <sheetName val="ВО.ТМ2 01.09 - 31.12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ConR"/>
      <sheetName val="modConR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DateChoose"/>
    </sheetNames>
    <sheetDataSet>
      <sheetData sheetId="4">
        <row r="34">
          <cell r="E34" t="str">
            <v>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12.28125" style="136" customWidth="1"/>
    <col min="2" max="2" width="10.57421875" style="136" customWidth="1"/>
    <col min="3" max="3" width="11.57421875" style="136" customWidth="1"/>
    <col min="4" max="4" width="8.28125" style="136" customWidth="1"/>
    <col min="5" max="5" width="13.28125" style="136" customWidth="1"/>
    <col min="6" max="6" width="12.140625" style="136" customWidth="1"/>
    <col min="7" max="7" width="10.8515625" style="136" customWidth="1"/>
    <col min="8" max="8" width="11.140625" style="136" customWidth="1"/>
    <col min="9" max="9" width="10.7109375" style="136" customWidth="1"/>
    <col min="10" max="10" width="9.00390625" style="136" customWidth="1"/>
    <col min="11" max="11" width="9.421875" style="136" customWidth="1"/>
    <col min="12" max="12" width="10.7109375" style="136" customWidth="1"/>
    <col min="13" max="13" width="9.7109375" style="136" customWidth="1"/>
    <col min="14" max="14" width="10.140625" style="136" customWidth="1"/>
    <col min="15" max="15" width="11.00390625" style="136" customWidth="1"/>
    <col min="16" max="16" width="12.00390625" style="136" customWidth="1"/>
    <col min="17" max="17" width="9.140625" style="136" customWidth="1"/>
    <col min="18" max="18" width="12.7109375" style="136" customWidth="1"/>
    <col min="19" max="19" width="10.421875" style="136" customWidth="1"/>
    <col min="20" max="20" width="9.00390625" style="136" customWidth="1"/>
    <col min="21" max="21" width="15.28125" style="116" customWidth="1"/>
    <col min="22" max="22" width="12.421875" style="116" customWidth="1"/>
    <col min="23" max="16384" width="9.140625" style="116" customWidth="1"/>
  </cols>
  <sheetData>
    <row r="1" spans="1:20" s="122" customFormat="1" ht="14.2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440"/>
      <c r="S1" s="440"/>
      <c r="T1" s="440"/>
    </row>
    <row r="2" spans="1:21" s="122" customFormat="1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37"/>
      <c r="S2" s="118"/>
      <c r="T2" s="118"/>
      <c r="U2" s="137" t="s">
        <v>417</v>
      </c>
    </row>
    <row r="3" spans="1:20" s="122" customFormat="1" ht="18.75">
      <c r="A3" s="441" t="s">
        <v>302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</row>
    <row r="4" spans="1:20" s="122" customFormat="1" ht="18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2" s="122" customFormat="1" ht="15">
      <c r="A5" s="429" t="s">
        <v>591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</row>
    <row r="6" spans="1:20" s="122" customFormat="1" ht="15.75" customHeight="1">
      <c r="A6" s="123"/>
      <c r="B6" s="123"/>
      <c r="C6" s="123"/>
      <c r="D6" s="123"/>
      <c r="E6" s="123"/>
      <c r="F6" s="426" t="s">
        <v>589</v>
      </c>
      <c r="G6" s="427"/>
      <c r="H6" s="427"/>
      <c r="I6" s="427"/>
      <c r="J6" s="427"/>
      <c r="K6" s="427"/>
      <c r="L6" s="427"/>
      <c r="M6" s="427"/>
      <c r="N6" s="123"/>
      <c r="O6" s="123"/>
      <c r="P6" s="123"/>
      <c r="Q6" s="123"/>
      <c r="R6" s="123"/>
      <c r="S6" s="123"/>
      <c r="T6" s="123"/>
    </row>
    <row r="7" spans="1:20" s="122" customFormat="1" ht="1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 t="s">
        <v>303</v>
      </c>
    </row>
    <row r="8" spans="1:22" s="122" customFormat="1" ht="15" customHeight="1">
      <c r="A8" s="425" t="s">
        <v>304</v>
      </c>
      <c r="B8" s="442" t="s">
        <v>305</v>
      </c>
      <c r="C8" s="425" t="s">
        <v>306</v>
      </c>
      <c r="D8" s="425" t="s">
        <v>307</v>
      </c>
      <c r="E8" s="436"/>
      <c r="F8" s="425"/>
      <c r="G8" s="425"/>
      <c r="H8" s="425" t="s">
        <v>308</v>
      </c>
      <c r="I8" s="425"/>
      <c r="J8" s="425"/>
      <c r="K8" s="425"/>
      <c r="L8" s="425" t="s">
        <v>309</v>
      </c>
      <c r="M8" s="425" t="s">
        <v>310</v>
      </c>
      <c r="N8" s="425" t="s">
        <v>311</v>
      </c>
      <c r="O8" s="433" t="str">
        <f>IF(TEMPLATE_CLAIM="U","Полезный отпуск на нужды предприятия","")</f>
        <v>Полезный отпуск на нужды предприятия</v>
      </c>
      <c r="P8" s="436" t="s">
        <v>312</v>
      </c>
      <c r="Q8" s="425" t="s">
        <v>313</v>
      </c>
      <c r="R8" s="425"/>
      <c r="S8" s="425"/>
      <c r="T8" s="439"/>
      <c r="U8" s="431" t="s">
        <v>353</v>
      </c>
      <c r="V8" s="432"/>
    </row>
    <row r="9" spans="1:22" s="122" customFormat="1" ht="24.75" customHeight="1">
      <c r="A9" s="425"/>
      <c r="B9" s="442"/>
      <c r="C9" s="425"/>
      <c r="D9" s="439" t="s">
        <v>4</v>
      </c>
      <c r="E9" s="433" t="str">
        <f>IF(TEMPLATE_CLAIM="U","На технологические нужды предприятия","")</f>
        <v>На технологические нужды предприятия</v>
      </c>
      <c r="F9" s="425" t="s">
        <v>314</v>
      </c>
      <c r="G9" s="425" t="s">
        <v>315</v>
      </c>
      <c r="H9" s="428" t="s">
        <v>143</v>
      </c>
      <c r="I9" s="428" t="s">
        <v>146</v>
      </c>
      <c r="J9" s="428" t="s">
        <v>147</v>
      </c>
      <c r="K9" s="428" t="s">
        <v>149</v>
      </c>
      <c r="L9" s="425"/>
      <c r="M9" s="425"/>
      <c r="N9" s="425"/>
      <c r="O9" s="434"/>
      <c r="P9" s="437"/>
      <c r="Q9" s="425" t="s">
        <v>4</v>
      </c>
      <c r="R9" s="425" t="s">
        <v>316</v>
      </c>
      <c r="S9" s="425" t="s">
        <v>293</v>
      </c>
      <c r="T9" s="439" t="s">
        <v>317</v>
      </c>
      <c r="U9" s="139" t="s">
        <v>361</v>
      </c>
      <c r="V9" s="139" t="s">
        <v>354</v>
      </c>
    </row>
    <row r="10" spans="1:22" s="122" customFormat="1" ht="42" customHeight="1">
      <c r="A10" s="425"/>
      <c r="B10" s="442"/>
      <c r="C10" s="425"/>
      <c r="D10" s="439"/>
      <c r="E10" s="435"/>
      <c r="F10" s="425"/>
      <c r="G10" s="425"/>
      <c r="H10" s="428"/>
      <c r="I10" s="428"/>
      <c r="J10" s="428"/>
      <c r="K10" s="428"/>
      <c r="L10" s="425"/>
      <c r="M10" s="425"/>
      <c r="N10" s="425"/>
      <c r="O10" s="435"/>
      <c r="P10" s="438"/>
      <c r="Q10" s="425"/>
      <c r="R10" s="425"/>
      <c r="S10" s="425"/>
      <c r="T10" s="439"/>
      <c r="U10" s="138"/>
      <c r="V10" s="138"/>
    </row>
    <row r="11" spans="1:22" s="122" customFormat="1" ht="11.25" customHeight="1">
      <c r="A11" s="126"/>
      <c r="B11" s="126" t="s">
        <v>169</v>
      </c>
      <c r="C11" s="126" t="s">
        <v>139</v>
      </c>
      <c r="D11" s="126" t="s">
        <v>318</v>
      </c>
      <c r="E11" s="127" t="str">
        <f>IF(TEMPLATE_CLAIM="U","3.1","")</f>
        <v>3.1</v>
      </c>
      <c r="F11" s="126" t="s">
        <v>319</v>
      </c>
      <c r="G11" s="126" t="s">
        <v>320</v>
      </c>
      <c r="H11" s="126" t="s">
        <v>321</v>
      </c>
      <c r="I11" s="126" t="s">
        <v>322</v>
      </c>
      <c r="J11" s="126" t="s">
        <v>323</v>
      </c>
      <c r="K11" s="126" t="s">
        <v>324</v>
      </c>
      <c r="L11" s="127" t="s">
        <v>325</v>
      </c>
      <c r="M11" s="126" t="s">
        <v>326</v>
      </c>
      <c r="N11" s="126" t="s">
        <v>327</v>
      </c>
      <c r="O11" s="127" t="str">
        <f>IF(TEMPLATE_CLAIM="U","5.2.1","")</f>
        <v>5.2.1</v>
      </c>
      <c r="P11" s="126" t="s">
        <v>328</v>
      </c>
      <c r="Q11" s="126" t="s">
        <v>329</v>
      </c>
      <c r="R11" s="126" t="s">
        <v>330</v>
      </c>
      <c r="S11" s="126" t="s">
        <v>331</v>
      </c>
      <c r="T11" s="126" t="s">
        <v>332</v>
      </c>
      <c r="U11" s="126" t="s">
        <v>352</v>
      </c>
      <c r="V11" s="126" t="s">
        <v>355</v>
      </c>
    </row>
    <row r="12" spans="1:22" s="122" customFormat="1" ht="11.25" customHeight="1">
      <c r="A12" s="128" t="s">
        <v>333</v>
      </c>
      <c r="B12" s="129">
        <f>C12+D12+L12</f>
        <v>155.48</v>
      </c>
      <c r="C12" s="129"/>
      <c r="D12" s="129">
        <f>SUM(E12:G12)</f>
        <v>0</v>
      </c>
      <c r="E12" s="130"/>
      <c r="F12" s="129"/>
      <c r="G12" s="131"/>
      <c r="H12" s="129"/>
      <c r="I12" s="129"/>
      <c r="J12" s="129"/>
      <c r="K12" s="129"/>
      <c r="L12" s="129">
        <f>M12+N12</f>
        <v>155.48</v>
      </c>
      <c r="M12" s="129"/>
      <c r="N12" s="129">
        <f>O12+P12+Q12</f>
        <v>155.48</v>
      </c>
      <c r="O12" s="130"/>
      <c r="P12" s="130"/>
      <c r="Q12" s="129">
        <f>SUM(R12:T12)</f>
        <v>155.48</v>
      </c>
      <c r="R12" s="131">
        <v>155.48</v>
      </c>
      <c r="S12" s="131"/>
      <c r="T12" s="131"/>
      <c r="U12" s="131">
        <v>155.48</v>
      </c>
      <c r="V12" s="131"/>
    </row>
    <row r="13" spans="1:22" s="122" customFormat="1" ht="12">
      <c r="A13" s="128" t="s">
        <v>334</v>
      </c>
      <c r="B13" s="129">
        <f aca="true" t="shared" si="0" ref="B13:B28">C13+D13+L13</f>
        <v>159.44</v>
      </c>
      <c r="C13" s="129"/>
      <c r="D13" s="129">
        <f>SUM(E13:G13)</f>
        <v>0</v>
      </c>
      <c r="E13" s="130"/>
      <c r="F13" s="129"/>
      <c r="G13" s="131"/>
      <c r="H13" s="129"/>
      <c r="I13" s="129"/>
      <c r="J13" s="129"/>
      <c r="K13" s="129"/>
      <c r="L13" s="129">
        <f aca="true" t="shared" si="1" ref="L13:L18">M13+N13</f>
        <v>159.44</v>
      </c>
      <c r="M13" s="129"/>
      <c r="N13" s="129">
        <f>O13+P13+Q13</f>
        <v>159.44</v>
      </c>
      <c r="O13" s="130"/>
      <c r="P13" s="130"/>
      <c r="Q13" s="129">
        <f>SUM(R13:T13)</f>
        <v>159.44</v>
      </c>
      <c r="R13" s="131">
        <v>159.44</v>
      </c>
      <c r="S13" s="131"/>
      <c r="T13" s="131"/>
      <c r="U13" s="131">
        <v>159.44</v>
      </c>
      <c r="V13" s="131"/>
    </row>
    <row r="14" spans="1:22" s="122" customFormat="1" ht="12">
      <c r="A14" s="128" t="s">
        <v>335</v>
      </c>
      <c r="B14" s="129">
        <f t="shared" si="0"/>
        <v>135.61</v>
      </c>
      <c r="C14" s="129"/>
      <c r="D14" s="129">
        <f>SUM(E14:G14)</f>
        <v>0</v>
      </c>
      <c r="E14" s="130"/>
      <c r="F14" s="129"/>
      <c r="G14" s="131"/>
      <c r="H14" s="129"/>
      <c r="I14" s="129"/>
      <c r="J14" s="129"/>
      <c r="K14" s="129"/>
      <c r="L14" s="129">
        <f t="shared" si="1"/>
        <v>135.61</v>
      </c>
      <c r="M14" s="129"/>
      <c r="N14" s="129">
        <f>O14+P14+Q14</f>
        <v>135.61</v>
      </c>
      <c r="O14" s="130"/>
      <c r="P14" s="130"/>
      <c r="Q14" s="129">
        <f>SUM(R14:T14)</f>
        <v>135.61</v>
      </c>
      <c r="R14" s="131">
        <v>135.61</v>
      </c>
      <c r="S14" s="131"/>
      <c r="T14" s="131"/>
      <c r="U14" s="131">
        <v>135.61</v>
      </c>
      <c r="V14" s="131"/>
    </row>
    <row r="15" spans="1:22" s="134" customFormat="1" ht="12">
      <c r="A15" s="132" t="s">
        <v>336</v>
      </c>
      <c r="B15" s="133">
        <f>SUM(B12:B14)</f>
        <v>450.53</v>
      </c>
      <c r="C15" s="133">
        <f aca="true" t="shared" si="2" ref="C15:T15">SUM(C12:C14)</f>
        <v>0</v>
      </c>
      <c r="D15" s="133">
        <f t="shared" si="2"/>
        <v>0</v>
      </c>
      <c r="E15" s="133">
        <f t="shared" si="2"/>
        <v>0</v>
      </c>
      <c r="F15" s="133">
        <f t="shared" si="2"/>
        <v>0</v>
      </c>
      <c r="G15" s="133">
        <f t="shared" si="2"/>
        <v>0</v>
      </c>
      <c r="H15" s="133">
        <f t="shared" si="2"/>
        <v>0</v>
      </c>
      <c r="I15" s="133">
        <f t="shared" si="2"/>
        <v>0</v>
      </c>
      <c r="J15" s="133">
        <f t="shared" si="2"/>
        <v>0</v>
      </c>
      <c r="K15" s="133">
        <f t="shared" si="2"/>
        <v>0</v>
      </c>
      <c r="L15" s="133">
        <f t="shared" si="2"/>
        <v>450.53</v>
      </c>
      <c r="M15" s="133">
        <f t="shared" si="2"/>
        <v>0</v>
      </c>
      <c r="N15" s="133">
        <f t="shared" si="2"/>
        <v>450.53</v>
      </c>
      <c r="O15" s="133">
        <f t="shared" si="2"/>
        <v>0</v>
      </c>
      <c r="P15" s="133">
        <f t="shared" si="2"/>
        <v>0</v>
      </c>
      <c r="Q15" s="133">
        <f t="shared" si="2"/>
        <v>450.53</v>
      </c>
      <c r="R15" s="133">
        <f t="shared" si="2"/>
        <v>450.53</v>
      </c>
      <c r="S15" s="133">
        <f t="shared" si="2"/>
        <v>0</v>
      </c>
      <c r="T15" s="133">
        <f t="shared" si="2"/>
        <v>0</v>
      </c>
      <c r="U15" s="133">
        <f>SUM(U12:U14)</f>
        <v>450.53</v>
      </c>
      <c r="V15" s="133">
        <f>SUM(V12:V14)</f>
        <v>0</v>
      </c>
    </row>
    <row r="16" spans="1:22" s="122" customFormat="1" ht="12">
      <c r="A16" s="128" t="s">
        <v>337</v>
      </c>
      <c r="B16" s="129">
        <f t="shared" si="0"/>
        <v>97.55</v>
      </c>
      <c r="C16" s="129"/>
      <c r="D16" s="129">
        <f>SUM(E16:G16)</f>
        <v>0</v>
      </c>
      <c r="E16" s="130"/>
      <c r="F16" s="129"/>
      <c r="G16" s="131"/>
      <c r="H16" s="129"/>
      <c r="I16" s="129"/>
      <c r="J16" s="129"/>
      <c r="K16" s="129"/>
      <c r="L16" s="129">
        <f t="shared" si="1"/>
        <v>97.55</v>
      </c>
      <c r="M16" s="129"/>
      <c r="N16" s="129">
        <f>O16+P16+Q16</f>
        <v>97.55</v>
      </c>
      <c r="O16" s="130"/>
      <c r="P16" s="130"/>
      <c r="Q16" s="129">
        <f>SUM(R16:T16)</f>
        <v>97.55</v>
      </c>
      <c r="R16" s="131">
        <v>97.55</v>
      </c>
      <c r="S16" s="131"/>
      <c r="T16" s="131"/>
      <c r="U16" s="131">
        <v>97.55</v>
      </c>
      <c r="V16" s="131"/>
    </row>
    <row r="17" spans="1:22" s="122" customFormat="1" ht="12">
      <c r="A17" s="128" t="s">
        <v>338</v>
      </c>
      <c r="B17" s="129">
        <f t="shared" si="0"/>
        <v>35.82</v>
      </c>
      <c r="C17" s="129"/>
      <c r="D17" s="129">
        <f>SUM(E17:G17)</f>
        <v>0</v>
      </c>
      <c r="E17" s="130"/>
      <c r="F17" s="129"/>
      <c r="G17" s="131"/>
      <c r="H17" s="129"/>
      <c r="I17" s="129"/>
      <c r="J17" s="129"/>
      <c r="K17" s="129"/>
      <c r="L17" s="129">
        <f t="shared" si="1"/>
        <v>35.82</v>
      </c>
      <c r="M17" s="129"/>
      <c r="N17" s="129">
        <f>O17+P17+Q17</f>
        <v>35.82</v>
      </c>
      <c r="O17" s="130"/>
      <c r="P17" s="130"/>
      <c r="Q17" s="129">
        <f>SUM(R17:T17)</f>
        <v>35.82</v>
      </c>
      <c r="R17" s="131">
        <v>35.82</v>
      </c>
      <c r="S17" s="131"/>
      <c r="T17" s="131"/>
      <c r="U17" s="131">
        <v>35.82</v>
      </c>
      <c r="V17" s="131"/>
    </row>
    <row r="18" spans="1:22" s="122" customFormat="1" ht="12">
      <c r="A18" s="128" t="s">
        <v>339</v>
      </c>
      <c r="B18" s="129">
        <f t="shared" si="0"/>
        <v>0</v>
      </c>
      <c r="C18" s="129"/>
      <c r="D18" s="129">
        <f>SUM(E18:G18)</f>
        <v>0</v>
      </c>
      <c r="E18" s="130"/>
      <c r="F18" s="129"/>
      <c r="G18" s="131"/>
      <c r="H18" s="129"/>
      <c r="I18" s="129"/>
      <c r="J18" s="129"/>
      <c r="K18" s="129"/>
      <c r="L18" s="129">
        <f t="shared" si="1"/>
        <v>0</v>
      </c>
      <c r="M18" s="129"/>
      <c r="N18" s="129">
        <f>O18+P18+Q18</f>
        <v>0</v>
      </c>
      <c r="O18" s="130"/>
      <c r="P18" s="130"/>
      <c r="Q18" s="129">
        <f>SUM(R18:T18)</f>
        <v>0</v>
      </c>
      <c r="R18" s="131"/>
      <c r="S18" s="131"/>
      <c r="T18" s="131"/>
      <c r="U18" s="131"/>
      <c r="V18" s="131"/>
    </row>
    <row r="19" spans="1:22" s="134" customFormat="1" ht="12">
      <c r="A19" s="132" t="s">
        <v>340</v>
      </c>
      <c r="B19" s="133">
        <f>SUM(B16:B18)</f>
        <v>133.37</v>
      </c>
      <c r="C19" s="133">
        <f aca="true" t="shared" si="3" ref="C19:T19">SUM(C16:C18)</f>
        <v>0</v>
      </c>
      <c r="D19" s="133">
        <f t="shared" si="3"/>
        <v>0</v>
      </c>
      <c r="E19" s="133">
        <f t="shared" si="3"/>
        <v>0</v>
      </c>
      <c r="F19" s="133">
        <f t="shared" si="3"/>
        <v>0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f t="shared" si="3"/>
        <v>0</v>
      </c>
      <c r="K19" s="133">
        <f t="shared" si="3"/>
        <v>0</v>
      </c>
      <c r="L19" s="133">
        <f t="shared" si="3"/>
        <v>133.37</v>
      </c>
      <c r="M19" s="133">
        <f t="shared" si="3"/>
        <v>0</v>
      </c>
      <c r="N19" s="133">
        <f t="shared" si="3"/>
        <v>133.37</v>
      </c>
      <c r="O19" s="133">
        <f t="shared" si="3"/>
        <v>0</v>
      </c>
      <c r="P19" s="133">
        <f t="shared" si="3"/>
        <v>0</v>
      </c>
      <c r="Q19" s="133">
        <f t="shared" si="3"/>
        <v>133.37</v>
      </c>
      <c r="R19" s="133">
        <f t="shared" si="3"/>
        <v>133.37</v>
      </c>
      <c r="S19" s="133">
        <f t="shared" si="3"/>
        <v>0</v>
      </c>
      <c r="T19" s="133">
        <f t="shared" si="3"/>
        <v>0</v>
      </c>
      <c r="U19" s="133">
        <f>SUM(U16:U18)</f>
        <v>133.37</v>
      </c>
      <c r="V19" s="133">
        <f>SUM(V16:V18)</f>
        <v>0</v>
      </c>
    </row>
    <row r="20" spans="1:22" s="134" customFormat="1" ht="12">
      <c r="A20" s="132" t="s">
        <v>341</v>
      </c>
      <c r="B20" s="133">
        <f>B19+B15</f>
        <v>583.9</v>
      </c>
      <c r="C20" s="133">
        <f aca="true" t="shared" si="4" ref="C20:T20">C19+C15</f>
        <v>0</v>
      </c>
      <c r="D20" s="133">
        <f t="shared" si="4"/>
        <v>0</v>
      </c>
      <c r="E20" s="133">
        <f t="shared" si="4"/>
        <v>0</v>
      </c>
      <c r="F20" s="133">
        <f t="shared" si="4"/>
        <v>0</v>
      </c>
      <c r="G20" s="133">
        <f t="shared" si="4"/>
        <v>0</v>
      </c>
      <c r="H20" s="133">
        <f t="shared" si="4"/>
        <v>0</v>
      </c>
      <c r="I20" s="133">
        <f t="shared" si="4"/>
        <v>0</v>
      </c>
      <c r="J20" s="133">
        <f t="shared" si="4"/>
        <v>0</v>
      </c>
      <c r="K20" s="133">
        <f t="shared" si="4"/>
        <v>0</v>
      </c>
      <c r="L20" s="133">
        <f t="shared" si="4"/>
        <v>583.9</v>
      </c>
      <c r="M20" s="133">
        <f t="shared" si="4"/>
        <v>0</v>
      </c>
      <c r="N20" s="133">
        <f t="shared" si="4"/>
        <v>583.9</v>
      </c>
      <c r="O20" s="133">
        <f t="shared" si="4"/>
        <v>0</v>
      </c>
      <c r="P20" s="133">
        <f t="shared" si="4"/>
        <v>0</v>
      </c>
      <c r="Q20" s="133">
        <f t="shared" si="4"/>
        <v>583.9</v>
      </c>
      <c r="R20" s="133">
        <f t="shared" si="4"/>
        <v>583.9</v>
      </c>
      <c r="S20" s="133">
        <f t="shared" si="4"/>
        <v>0</v>
      </c>
      <c r="T20" s="133">
        <f t="shared" si="4"/>
        <v>0</v>
      </c>
      <c r="U20" s="133">
        <f>U19+U15</f>
        <v>583.9</v>
      </c>
      <c r="V20" s="133">
        <f>V19+V15</f>
        <v>0</v>
      </c>
    </row>
    <row r="21" spans="1:22" s="122" customFormat="1" ht="12">
      <c r="A21" s="128" t="s">
        <v>342</v>
      </c>
      <c r="B21" s="129">
        <f t="shared" si="0"/>
        <v>0</v>
      </c>
      <c r="C21" s="129"/>
      <c r="D21" s="129">
        <f>SUM(E21:G21)</f>
        <v>0</v>
      </c>
      <c r="E21" s="130"/>
      <c r="F21" s="129"/>
      <c r="G21" s="131"/>
      <c r="H21" s="129"/>
      <c r="I21" s="129"/>
      <c r="J21" s="129"/>
      <c r="K21" s="129"/>
      <c r="L21" s="129">
        <f>M21+N21</f>
        <v>0</v>
      </c>
      <c r="M21" s="129"/>
      <c r="N21" s="129">
        <f>O21+P21+Q21</f>
        <v>0</v>
      </c>
      <c r="O21" s="130"/>
      <c r="P21" s="130"/>
      <c r="Q21" s="129">
        <f>SUM(R21:T21)</f>
        <v>0</v>
      </c>
      <c r="R21" s="131"/>
      <c r="S21" s="131"/>
      <c r="T21" s="131"/>
      <c r="U21" s="131"/>
      <c r="V21" s="131"/>
    </row>
    <row r="22" spans="1:22" s="122" customFormat="1" ht="12">
      <c r="A22" s="128" t="s">
        <v>343</v>
      </c>
      <c r="B22" s="129">
        <f t="shared" si="0"/>
        <v>0</v>
      </c>
      <c r="C22" s="129"/>
      <c r="D22" s="129">
        <f>SUM(E22:G22)</f>
        <v>0</v>
      </c>
      <c r="E22" s="130"/>
      <c r="F22" s="129"/>
      <c r="G22" s="131"/>
      <c r="H22" s="129"/>
      <c r="I22" s="129"/>
      <c r="J22" s="129"/>
      <c r="K22" s="129"/>
      <c r="L22" s="129">
        <f>M22+N22</f>
        <v>0</v>
      </c>
      <c r="M22" s="129"/>
      <c r="N22" s="129">
        <f>O22+P22+Q22</f>
        <v>0</v>
      </c>
      <c r="O22" s="130"/>
      <c r="P22" s="130"/>
      <c r="Q22" s="129">
        <f>SUM(R22:T22)</f>
        <v>0</v>
      </c>
      <c r="R22" s="131"/>
      <c r="S22" s="131"/>
      <c r="T22" s="131"/>
      <c r="U22" s="131"/>
      <c r="V22" s="131"/>
    </row>
    <row r="23" spans="1:22" s="122" customFormat="1" ht="12">
      <c r="A23" s="128" t="s">
        <v>344</v>
      </c>
      <c r="B23" s="129">
        <f t="shared" si="0"/>
        <v>22.64</v>
      </c>
      <c r="C23" s="129"/>
      <c r="D23" s="129">
        <f>SUM(E23:G23)</f>
        <v>0</v>
      </c>
      <c r="E23" s="130"/>
      <c r="F23" s="129"/>
      <c r="G23" s="131"/>
      <c r="H23" s="129"/>
      <c r="I23" s="129"/>
      <c r="J23" s="129"/>
      <c r="K23" s="129"/>
      <c r="L23" s="129">
        <f>M23+N23</f>
        <v>22.64</v>
      </c>
      <c r="M23" s="129"/>
      <c r="N23" s="129">
        <f>O23+P23+Q23</f>
        <v>22.64</v>
      </c>
      <c r="O23" s="130"/>
      <c r="P23" s="130"/>
      <c r="Q23" s="129">
        <f>SUM(R23:T23)</f>
        <v>22.64</v>
      </c>
      <c r="R23" s="131">
        <v>22.64</v>
      </c>
      <c r="S23" s="131"/>
      <c r="T23" s="131"/>
      <c r="U23" s="131">
        <v>22.64</v>
      </c>
      <c r="V23" s="131"/>
    </row>
    <row r="24" spans="1:22" s="134" customFormat="1" ht="12">
      <c r="A24" s="132" t="s">
        <v>345</v>
      </c>
      <c r="B24" s="133">
        <f>SUM(B21:B23)</f>
        <v>22.64</v>
      </c>
      <c r="C24" s="133">
        <f aca="true" t="shared" si="5" ref="C24:T24">SUM(C21:C23)</f>
        <v>0</v>
      </c>
      <c r="D24" s="133">
        <f t="shared" si="5"/>
        <v>0</v>
      </c>
      <c r="E24" s="133">
        <f t="shared" si="5"/>
        <v>0</v>
      </c>
      <c r="F24" s="133">
        <f t="shared" si="5"/>
        <v>0</v>
      </c>
      <c r="G24" s="133">
        <f t="shared" si="5"/>
        <v>0</v>
      </c>
      <c r="H24" s="133">
        <f t="shared" si="5"/>
        <v>0</v>
      </c>
      <c r="I24" s="133">
        <f t="shared" si="5"/>
        <v>0</v>
      </c>
      <c r="J24" s="133">
        <f t="shared" si="5"/>
        <v>0</v>
      </c>
      <c r="K24" s="133">
        <f t="shared" si="5"/>
        <v>0</v>
      </c>
      <c r="L24" s="133">
        <f t="shared" si="5"/>
        <v>22.64</v>
      </c>
      <c r="M24" s="133">
        <f t="shared" si="5"/>
        <v>0</v>
      </c>
      <c r="N24" s="133">
        <f t="shared" si="5"/>
        <v>22.64</v>
      </c>
      <c r="O24" s="133">
        <f t="shared" si="5"/>
        <v>0</v>
      </c>
      <c r="P24" s="133">
        <f t="shared" si="5"/>
        <v>0</v>
      </c>
      <c r="Q24" s="133">
        <f t="shared" si="5"/>
        <v>22.64</v>
      </c>
      <c r="R24" s="133">
        <f t="shared" si="5"/>
        <v>22.64</v>
      </c>
      <c r="S24" s="133">
        <f t="shared" si="5"/>
        <v>0</v>
      </c>
      <c r="T24" s="133">
        <f t="shared" si="5"/>
        <v>0</v>
      </c>
      <c r="U24" s="133">
        <f>SUM(U21:U23)</f>
        <v>22.64</v>
      </c>
      <c r="V24" s="133">
        <f>SUM(V21:V23)</f>
        <v>0</v>
      </c>
    </row>
    <row r="25" spans="1:22" s="134" customFormat="1" ht="12">
      <c r="A25" s="132" t="s">
        <v>346</v>
      </c>
      <c r="B25" s="133">
        <f>B24+B20</f>
        <v>606.54</v>
      </c>
      <c r="C25" s="133">
        <f aca="true" t="shared" si="6" ref="C25:T25">C24+C20</f>
        <v>0</v>
      </c>
      <c r="D25" s="133">
        <f t="shared" si="6"/>
        <v>0</v>
      </c>
      <c r="E25" s="133">
        <f t="shared" si="6"/>
        <v>0</v>
      </c>
      <c r="F25" s="133">
        <f t="shared" si="6"/>
        <v>0</v>
      </c>
      <c r="G25" s="133">
        <f t="shared" si="6"/>
        <v>0</v>
      </c>
      <c r="H25" s="133">
        <f t="shared" si="6"/>
        <v>0</v>
      </c>
      <c r="I25" s="133">
        <f t="shared" si="6"/>
        <v>0</v>
      </c>
      <c r="J25" s="133">
        <f t="shared" si="6"/>
        <v>0</v>
      </c>
      <c r="K25" s="133">
        <f t="shared" si="6"/>
        <v>0</v>
      </c>
      <c r="L25" s="133">
        <f t="shared" si="6"/>
        <v>606.54</v>
      </c>
      <c r="M25" s="133">
        <f t="shared" si="6"/>
        <v>0</v>
      </c>
      <c r="N25" s="133">
        <f t="shared" si="6"/>
        <v>606.54</v>
      </c>
      <c r="O25" s="133">
        <f t="shared" si="6"/>
        <v>0</v>
      </c>
      <c r="P25" s="133">
        <f t="shared" si="6"/>
        <v>0</v>
      </c>
      <c r="Q25" s="133">
        <f t="shared" si="6"/>
        <v>606.54</v>
      </c>
      <c r="R25" s="133">
        <f t="shared" si="6"/>
        <v>606.54</v>
      </c>
      <c r="S25" s="133">
        <f t="shared" si="6"/>
        <v>0</v>
      </c>
      <c r="T25" s="133">
        <f t="shared" si="6"/>
        <v>0</v>
      </c>
      <c r="U25" s="133">
        <f>U24+U20</f>
        <v>606.54</v>
      </c>
      <c r="V25" s="133">
        <f>V24+V20</f>
        <v>0</v>
      </c>
    </row>
    <row r="26" spans="1:22" s="122" customFormat="1" ht="12">
      <c r="A26" s="128" t="s">
        <v>347</v>
      </c>
      <c r="B26" s="129">
        <f t="shared" si="0"/>
        <v>50.25</v>
      </c>
      <c r="C26" s="129"/>
      <c r="D26" s="129">
        <f>SUM(E26:G26)</f>
        <v>0</v>
      </c>
      <c r="E26" s="130"/>
      <c r="F26" s="129"/>
      <c r="G26" s="131"/>
      <c r="H26" s="129"/>
      <c r="I26" s="129"/>
      <c r="J26" s="129"/>
      <c r="K26" s="129"/>
      <c r="L26" s="129">
        <f>M26+N26</f>
        <v>50.25</v>
      </c>
      <c r="M26" s="129"/>
      <c r="N26" s="129">
        <f>O26+P26+Q26</f>
        <v>50.25</v>
      </c>
      <c r="O26" s="130"/>
      <c r="P26" s="130"/>
      <c r="Q26" s="129">
        <f>SUM(R26:T26)</f>
        <v>50.25</v>
      </c>
      <c r="R26" s="131">
        <v>50.25</v>
      </c>
      <c r="S26" s="131"/>
      <c r="T26" s="131"/>
      <c r="U26" s="131">
        <v>50.25</v>
      </c>
      <c r="V26" s="131"/>
    </row>
    <row r="27" spans="1:22" s="122" customFormat="1" ht="12">
      <c r="A27" s="128" t="s">
        <v>348</v>
      </c>
      <c r="B27" s="129">
        <f t="shared" si="0"/>
        <v>133.83</v>
      </c>
      <c r="C27" s="129"/>
      <c r="D27" s="129">
        <f>SUM(E27:G27)</f>
        <v>0</v>
      </c>
      <c r="E27" s="130"/>
      <c r="F27" s="129"/>
      <c r="G27" s="131"/>
      <c r="H27" s="129"/>
      <c r="I27" s="129"/>
      <c r="J27" s="129"/>
      <c r="K27" s="129"/>
      <c r="L27" s="129">
        <f>M27+N27</f>
        <v>133.83</v>
      </c>
      <c r="M27" s="129"/>
      <c r="N27" s="129">
        <f>O27+P27+Q27</f>
        <v>133.83</v>
      </c>
      <c r="O27" s="130"/>
      <c r="P27" s="130"/>
      <c r="Q27" s="129">
        <f>SUM(R27:T27)</f>
        <v>133.83</v>
      </c>
      <c r="R27" s="131">
        <v>133.83</v>
      </c>
      <c r="S27" s="131"/>
      <c r="T27" s="131"/>
      <c r="U27" s="131">
        <v>133.83</v>
      </c>
      <c r="V27" s="131"/>
    </row>
    <row r="28" spans="1:22" s="122" customFormat="1" ht="13.5" customHeight="1">
      <c r="A28" s="128" t="s">
        <v>349</v>
      </c>
      <c r="B28" s="129">
        <f t="shared" si="0"/>
        <v>139.24</v>
      </c>
      <c r="C28" s="129"/>
      <c r="D28" s="129">
        <f>SUM(E28:G28)</f>
        <v>0</v>
      </c>
      <c r="E28" s="130"/>
      <c r="F28" s="129"/>
      <c r="G28" s="131"/>
      <c r="H28" s="129"/>
      <c r="I28" s="129"/>
      <c r="J28" s="129"/>
      <c r="K28" s="129"/>
      <c r="L28" s="129">
        <f>M28+N28</f>
        <v>139.24</v>
      </c>
      <c r="M28" s="129"/>
      <c r="N28" s="129">
        <f>O28+P28+Q28</f>
        <v>139.24</v>
      </c>
      <c r="O28" s="130"/>
      <c r="P28" s="130"/>
      <c r="Q28" s="129">
        <f>SUM(R28:T28)</f>
        <v>139.24</v>
      </c>
      <c r="R28" s="131">
        <v>139.24</v>
      </c>
      <c r="S28" s="131"/>
      <c r="T28" s="131"/>
      <c r="U28" s="131">
        <v>139.24</v>
      </c>
      <c r="V28" s="131"/>
    </row>
    <row r="29" spans="1:22" s="134" customFormat="1" ht="12">
      <c r="A29" s="132" t="s">
        <v>350</v>
      </c>
      <c r="B29" s="133">
        <f>SUM(B26:B28)</f>
        <v>323.32000000000005</v>
      </c>
      <c r="C29" s="133">
        <f aca="true" t="shared" si="7" ref="C29:T29">SUM(C26:C28)</f>
        <v>0</v>
      </c>
      <c r="D29" s="133">
        <f t="shared" si="7"/>
        <v>0</v>
      </c>
      <c r="E29" s="133">
        <f t="shared" si="7"/>
        <v>0</v>
      </c>
      <c r="F29" s="133">
        <f t="shared" si="7"/>
        <v>0</v>
      </c>
      <c r="G29" s="133">
        <f t="shared" si="7"/>
        <v>0</v>
      </c>
      <c r="H29" s="133">
        <f t="shared" si="7"/>
        <v>0</v>
      </c>
      <c r="I29" s="133">
        <f t="shared" si="7"/>
        <v>0</v>
      </c>
      <c r="J29" s="133">
        <f t="shared" si="7"/>
        <v>0</v>
      </c>
      <c r="K29" s="133">
        <f t="shared" si="7"/>
        <v>0</v>
      </c>
      <c r="L29" s="133">
        <f t="shared" si="7"/>
        <v>323.32000000000005</v>
      </c>
      <c r="M29" s="133">
        <f t="shared" si="7"/>
        <v>0</v>
      </c>
      <c r="N29" s="133">
        <f t="shared" si="7"/>
        <v>323.32000000000005</v>
      </c>
      <c r="O29" s="133">
        <f t="shared" si="7"/>
        <v>0</v>
      </c>
      <c r="P29" s="133">
        <f t="shared" si="7"/>
        <v>0</v>
      </c>
      <c r="Q29" s="133">
        <f t="shared" si="7"/>
        <v>323.32000000000005</v>
      </c>
      <c r="R29" s="133">
        <f t="shared" si="7"/>
        <v>323.32000000000005</v>
      </c>
      <c r="S29" s="133">
        <f t="shared" si="7"/>
        <v>0</v>
      </c>
      <c r="T29" s="133">
        <f t="shared" si="7"/>
        <v>0</v>
      </c>
      <c r="U29" s="133">
        <f>SUM(U26:U28)</f>
        <v>323.32000000000005</v>
      </c>
      <c r="V29" s="133">
        <f>SUM(V26:V28)</f>
        <v>0</v>
      </c>
    </row>
    <row r="30" spans="1:22" s="134" customFormat="1" ht="12">
      <c r="A30" s="132" t="s">
        <v>351</v>
      </c>
      <c r="B30" s="133">
        <f>B29+B25</f>
        <v>929.86</v>
      </c>
      <c r="C30" s="133">
        <f aca="true" t="shared" si="8" ref="C30:T30">C29+C25</f>
        <v>0</v>
      </c>
      <c r="D30" s="133">
        <f t="shared" si="8"/>
        <v>0</v>
      </c>
      <c r="E30" s="133">
        <f t="shared" si="8"/>
        <v>0</v>
      </c>
      <c r="F30" s="133">
        <f t="shared" si="8"/>
        <v>0</v>
      </c>
      <c r="G30" s="133">
        <f t="shared" si="8"/>
        <v>0</v>
      </c>
      <c r="H30" s="133">
        <f t="shared" si="8"/>
        <v>0</v>
      </c>
      <c r="I30" s="133">
        <f t="shared" si="8"/>
        <v>0</v>
      </c>
      <c r="J30" s="133">
        <f t="shared" si="8"/>
        <v>0</v>
      </c>
      <c r="K30" s="133">
        <f t="shared" si="8"/>
        <v>0</v>
      </c>
      <c r="L30" s="133">
        <f t="shared" si="8"/>
        <v>929.86</v>
      </c>
      <c r="M30" s="133">
        <f t="shared" si="8"/>
        <v>0</v>
      </c>
      <c r="N30" s="133">
        <f t="shared" si="8"/>
        <v>929.86</v>
      </c>
      <c r="O30" s="133">
        <f t="shared" si="8"/>
        <v>0</v>
      </c>
      <c r="P30" s="133">
        <f t="shared" si="8"/>
        <v>0</v>
      </c>
      <c r="Q30" s="133">
        <f t="shared" si="8"/>
        <v>929.86</v>
      </c>
      <c r="R30" s="133">
        <f t="shared" si="8"/>
        <v>929.86</v>
      </c>
      <c r="S30" s="133">
        <f t="shared" si="8"/>
        <v>0</v>
      </c>
      <c r="T30" s="133">
        <f t="shared" si="8"/>
        <v>0</v>
      </c>
      <c r="U30" s="133">
        <f>U29+U25</f>
        <v>929.86</v>
      </c>
      <c r="V30" s="133">
        <f>V29+V25</f>
        <v>0</v>
      </c>
    </row>
    <row r="31" spans="1:20" ht="1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ht="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s="403" customFormat="1" ht="27" customHeight="1">
      <c r="A33" s="401"/>
      <c r="B33" s="401" t="s">
        <v>647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2" t="s">
        <v>648</v>
      </c>
      <c r="R33" s="401"/>
      <c r="S33" s="401"/>
      <c r="T33" s="401"/>
    </row>
    <row r="34" spans="1:20" s="405" customFormat="1" ht="1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</row>
    <row r="35" spans="1:20" s="406" customFormat="1" ht="28.5" customHeight="1">
      <c r="A35" s="401"/>
      <c r="B35" s="402" t="s">
        <v>644</v>
      </c>
      <c r="C35" s="401"/>
      <c r="D35" s="401"/>
      <c r="E35" s="401"/>
      <c r="F35" s="401"/>
      <c r="G35" s="401"/>
      <c r="H35" s="401"/>
      <c r="I35" s="401"/>
      <c r="J35" s="401"/>
      <c r="K35" s="401"/>
      <c r="M35" s="401"/>
      <c r="N35" s="401"/>
      <c r="O35" s="401"/>
      <c r="P35" s="401"/>
      <c r="Q35" s="402" t="s">
        <v>645</v>
      </c>
      <c r="R35" s="401"/>
      <c r="S35" s="401"/>
      <c r="T35" s="401"/>
    </row>
    <row r="36" spans="1:20" ht="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ht="1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ht="1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ht="1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ht="1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ht="1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ht="1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ht="1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ht="1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ht="1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ht="1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ht="1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</sheetData>
  <sheetProtection/>
  <mergeCells count="28">
    <mergeCell ref="R1:T1"/>
    <mergeCell ref="A3:T3"/>
    <mergeCell ref="A8:A10"/>
    <mergeCell ref="B8:B10"/>
    <mergeCell ref="C8:C10"/>
    <mergeCell ref="D8:G8"/>
    <mergeCell ref="H8:K8"/>
    <mergeCell ref="L8:L10"/>
    <mergeCell ref="D9:D10"/>
    <mergeCell ref="E9:E10"/>
    <mergeCell ref="A5:V5"/>
    <mergeCell ref="J9:J10"/>
    <mergeCell ref="U8:V8"/>
    <mergeCell ref="O8:O10"/>
    <mergeCell ref="P8:P10"/>
    <mergeCell ref="Q8:T8"/>
    <mergeCell ref="S9:S10"/>
    <mergeCell ref="T9:T10"/>
    <mergeCell ref="R9:R10"/>
    <mergeCell ref="F6:M6"/>
    <mergeCell ref="N8:N10"/>
    <mergeCell ref="Q9:Q10"/>
    <mergeCell ref="H9:H10"/>
    <mergeCell ref="I9:I10"/>
    <mergeCell ref="K9:K10"/>
    <mergeCell ref="M8:M10"/>
    <mergeCell ref="F9:F10"/>
    <mergeCell ref="G9:G10"/>
  </mergeCells>
  <printOptions/>
  <pageMargins left="0.31496062992125984" right="0.1968503937007874" top="0.15748031496062992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41" sqref="A41:IV86"/>
    </sheetView>
  </sheetViews>
  <sheetFormatPr defaultColWidth="9.140625" defaultRowHeight="15"/>
  <cols>
    <col min="1" max="1" width="4.140625" style="64" customWidth="1"/>
    <col min="2" max="2" width="64.28125" style="65" customWidth="1"/>
    <col min="3" max="3" width="11.28125" style="65" customWidth="1"/>
    <col min="4" max="4" width="12.00390625" style="65" customWidth="1"/>
    <col min="5" max="5" width="11.57421875" style="65" customWidth="1"/>
    <col min="6" max="16384" width="9.140625" style="65" customWidth="1"/>
  </cols>
  <sheetData>
    <row r="1" spans="2:6" ht="15">
      <c r="B1" s="1"/>
      <c r="C1" s="1"/>
      <c r="D1" s="1" t="s">
        <v>45</v>
      </c>
      <c r="E1" s="1"/>
      <c r="F1" s="1"/>
    </row>
    <row r="2" spans="2:6" ht="15">
      <c r="B2" s="495"/>
      <c r="C2" s="495"/>
      <c r="D2" s="495"/>
      <c r="E2" s="1"/>
      <c r="F2" s="1"/>
    </row>
    <row r="3" spans="2:6" ht="16.5">
      <c r="B3" s="86" t="s">
        <v>656</v>
      </c>
      <c r="C3" s="86"/>
      <c r="D3" s="1"/>
      <c r="E3" s="1"/>
      <c r="F3" s="1"/>
    </row>
    <row r="4" spans="2:6" ht="11.25" customHeight="1">
      <c r="B4" s="1"/>
      <c r="C4" s="1"/>
      <c r="D4" s="1"/>
      <c r="E4" s="1"/>
      <c r="F4" s="1"/>
    </row>
    <row r="5" spans="2:6" ht="15">
      <c r="B5" s="396" t="s">
        <v>646</v>
      </c>
      <c r="C5" s="55"/>
      <c r="D5" s="395"/>
      <c r="E5" s="55"/>
      <c r="F5" s="1"/>
    </row>
    <row r="6" ht="15.75" thickBot="1">
      <c r="E6" s="265"/>
    </row>
    <row r="7" spans="1:5" ht="15">
      <c r="A7" s="68"/>
      <c r="B7" s="5"/>
      <c r="C7" s="5" t="s">
        <v>17</v>
      </c>
      <c r="D7" s="5" t="s">
        <v>18</v>
      </c>
      <c r="E7" s="6" t="s">
        <v>71</v>
      </c>
    </row>
    <row r="8" spans="1:5" ht="15">
      <c r="A8" s="69"/>
      <c r="B8" s="6" t="s">
        <v>19</v>
      </c>
      <c r="C8" s="6">
        <v>2015</v>
      </c>
      <c r="D8" s="6">
        <v>2015</v>
      </c>
      <c r="E8" s="6" t="s">
        <v>72</v>
      </c>
    </row>
    <row r="9" spans="1:5" ht="15.75" thickBot="1">
      <c r="A9" s="70"/>
      <c r="B9" s="7"/>
      <c r="C9" s="4"/>
      <c r="D9" s="4"/>
      <c r="E9" s="7"/>
    </row>
    <row r="10" spans="1:5" ht="15">
      <c r="A10" s="412">
        <v>1</v>
      </c>
      <c r="B10" s="73" t="s">
        <v>652</v>
      </c>
      <c r="C10" s="414">
        <f>C14+C29</f>
        <v>1982.39</v>
      </c>
      <c r="D10" s="414">
        <f>D14+D29</f>
        <v>1046.5500000000002</v>
      </c>
      <c r="E10" s="414">
        <f>D10-C10</f>
        <v>-935.8399999999999</v>
      </c>
    </row>
    <row r="11" spans="1:5" ht="18.75" customHeight="1">
      <c r="A11" s="413" t="s">
        <v>137</v>
      </c>
      <c r="B11" s="66" t="s">
        <v>118</v>
      </c>
      <c r="C11" s="417">
        <f>3880.725/19.5/12*1000</f>
        <v>16584.29487179487</v>
      </c>
      <c r="D11" s="417">
        <v>12847.6</v>
      </c>
      <c r="E11" s="416"/>
    </row>
    <row r="12" spans="1:5" ht="19.5" customHeight="1">
      <c r="A12" s="413" t="s">
        <v>138</v>
      </c>
      <c r="B12" s="66" t="s">
        <v>119</v>
      </c>
      <c r="C12" s="418">
        <f>7.5+9+3</f>
        <v>19.5</v>
      </c>
      <c r="D12" s="418">
        <v>15</v>
      </c>
      <c r="E12" s="416"/>
    </row>
    <row r="13" spans="1:5" ht="21" customHeight="1">
      <c r="A13" s="413" t="s">
        <v>139</v>
      </c>
      <c r="B13" s="66" t="s">
        <v>120</v>
      </c>
      <c r="C13" s="416"/>
      <c r="D13" s="416"/>
      <c r="E13" s="416"/>
    </row>
    <row r="14" spans="1:5" ht="18.75" customHeight="1">
      <c r="A14" s="413">
        <f aca="true" t="shared" si="0" ref="A14:A34">A13+1</f>
        <v>3</v>
      </c>
      <c r="B14" s="67" t="s">
        <v>653</v>
      </c>
      <c r="C14" s="415">
        <v>1413.89</v>
      </c>
      <c r="D14" s="415">
        <v>709.82</v>
      </c>
      <c r="E14" s="415">
        <f>D14-C14</f>
        <v>-704.07</v>
      </c>
    </row>
    <row r="15" spans="1:5" ht="23.25" customHeight="1">
      <c r="A15" s="413">
        <f t="shared" si="0"/>
        <v>4</v>
      </c>
      <c r="B15" s="66" t="s">
        <v>121</v>
      </c>
      <c r="C15" s="415">
        <v>14961.8</v>
      </c>
      <c r="D15" s="415">
        <f>D14/D16/12*1000</f>
        <v>11830.333333333334</v>
      </c>
      <c r="E15" s="415">
        <f>D15-C15</f>
        <v>-3131.4666666666653</v>
      </c>
    </row>
    <row r="16" spans="1:5" ht="25.5" customHeight="1">
      <c r="A16" s="413">
        <f t="shared" si="0"/>
        <v>5</v>
      </c>
      <c r="B16" s="66" t="s">
        <v>122</v>
      </c>
      <c r="C16" s="416">
        <v>9</v>
      </c>
      <c r="D16" s="416">
        <v>5</v>
      </c>
      <c r="E16" s="416"/>
    </row>
    <row r="17" spans="1:5" ht="18.75" customHeight="1">
      <c r="A17" s="413">
        <f t="shared" si="0"/>
        <v>6</v>
      </c>
      <c r="B17" s="66" t="s">
        <v>123</v>
      </c>
      <c r="C17" s="415">
        <v>5232.32</v>
      </c>
      <c r="D17" s="415">
        <v>4997.44</v>
      </c>
      <c r="E17" s="415">
        <f>D17-C17</f>
        <v>-234.8800000000001</v>
      </c>
    </row>
    <row r="18" spans="1:5" ht="18" customHeight="1">
      <c r="A18" s="413">
        <f t="shared" si="0"/>
        <v>7</v>
      </c>
      <c r="B18" s="66" t="s">
        <v>124</v>
      </c>
      <c r="C18" s="415">
        <v>5232.32</v>
      </c>
      <c r="D18" s="415">
        <v>4997.44</v>
      </c>
      <c r="E18" s="415">
        <f>D18-C18</f>
        <v>-234.8800000000001</v>
      </c>
    </row>
    <row r="19" spans="1:5" ht="20.25" customHeight="1">
      <c r="A19" s="413">
        <f t="shared" si="0"/>
        <v>8</v>
      </c>
      <c r="B19" s="66" t="s">
        <v>125</v>
      </c>
      <c r="C19" s="415">
        <v>5232.32</v>
      </c>
      <c r="D19" s="415">
        <v>4997.44</v>
      </c>
      <c r="E19" s="415">
        <f>D19-C19</f>
        <v>-234.8800000000001</v>
      </c>
    </row>
    <row r="20" spans="1:5" ht="18.75" customHeight="1">
      <c r="A20" s="413">
        <f t="shared" si="0"/>
        <v>9</v>
      </c>
      <c r="B20" s="67" t="s">
        <v>126</v>
      </c>
      <c r="C20" s="416"/>
      <c r="D20" s="416"/>
      <c r="E20" s="416"/>
    </row>
    <row r="21" spans="1:5" ht="20.25" customHeight="1">
      <c r="A21" s="413">
        <f t="shared" si="0"/>
        <v>10</v>
      </c>
      <c r="B21" s="66" t="s">
        <v>127</v>
      </c>
      <c r="C21" s="416"/>
      <c r="D21" s="416"/>
      <c r="E21" s="416"/>
    </row>
    <row r="22" spans="1:5" ht="23.25" customHeight="1">
      <c r="A22" s="413">
        <f t="shared" si="0"/>
        <v>11</v>
      </c>
      <c r="B22" s="66" t="s">
        <v>128</v>
      </c>
      <c r="C22" s="416"/>
      <c r="D22" s="416"/>
      <c r="E22" s="416"/>
    </row>
    <row r="23" spans="1:5" ht="19.5" customHeight="1">
      <c r="A23" s="413">
        <f t="shared" si="0"/>
        <v>12</v>
      </c>
      <c r="B23" s="66" t="s">
        <v>123</v>
      </c>
      <c r="C23" s="416"/>
      <c r="D23" s="416"/>
      <c r="E23" s="416"/>
    </row>
    <row r="24" spans="1:5" ht="20.25" customHeight="1">
      <c r="A24" s="413">
        <f t="shared" si="0"/>
        <v>13</v>
      </c>
      <c r="B24" s="66" t="s">
        <v>124</v>
      </c>
      <c r="C24" s="416"/>
      <c r="D24" s="416"/>
      <c r="E24" s="416"/>
    </row>
    <row r="25" spans="1:5" ht="18" customHeight="1">
      <c r="A25" s="413">
        <f t="shared" si="0"/>
        <v>14</v>
      </c>
      <c r="B25" s="66" t="s">
        <v>125</v>
      </c>
      <c r="C25" s="416"/>
      <c r="D25" s="416"/>
      <c r="E25" s="416"/>
    </row>
    <row r="26" spans="1:5" ht="18" customHeight="1">
      <c r="A26" s="413">
        <f t="shared" si="0"/>
        <v>15</v>
      </c>
      <c r="B26" s="67" t="s">
        <v>129</v>
      </c>
      <c r="C26" s="416"/>
      <c r="D26" s="416"/>
      <c r="E26" s="416"/>
    </row>
    <row r="27" spans="1:5" ht="19.5" customHeight="1">
      <c r="A27" s="413">
        <f t="shared" si="0"/>
        <v>16</v>
      </c>
      <c r="B27" s="66" t="s">
        <v>130</v>
      </c>
      <c r="C27" s="416"/>
      <c r="D27" s="416"/>
      <c r="E27" s="416"/>
    </row>
    <row r="28" spans="1:5" ht="23.25" customHeight="1">
      <c r="A28" s="413">
        <f t="shared" si="0"/>
        <v>17</v>
      </c>
      <c r="B28" s="66" t="s">
        <v>131</v>
      </c>
      <c r="C28" s="416"/>
      <c r="D28" s="416"/>
      <c r="E28" s="416"/>
    </row>
    <row r="29" spans="1:5" ht="20.25" customHeight="1">
      <c r="A29" s="413">
        <f t="shared" si="0"/>
        <v>18</v>
      </c>
      <c r="B29" s="67" t="s">
        <v>654</v>
      </c>
      <c r="C29" s="416">
        <v>568.5</v>
      </c>
      <c r="D29" s="416">
        <v>336.73</v>
      </c>
      <c r="E29" s="415">
        <f>D29-C29</f>
        <v>-231.76999999999998</v>
      </c>
    </row>
    <row r="30" spans="1:5" ht="19.5" customHeight="1">
      <c r="A30" s="413">
        <f t="shared" si="0"/>
        <v>19</v>
      </c>
      <c r="B30" s="66" t="s">
        <v>132</v>
      </c>
      <c r="C30" s="415">
        <v>17664.31</v>
      </c>
      <c r="D30" s="415">
        <f>D29/D31/12*1000</f>
        <v>18707.222222222223</v>
      </c>
      <c r="E30" s="415">
        <f>D30-C30</f>
        <v>1042.9122222222213</v>
      </c>
    </row>
    <row r="31" spans="1:5" ht="19.5" customHeight="1">
      <c r="A31" s="413">
        <f t="shared" si="0"/>
        <v>20</v>
      </c>
      <c r="B31" s="66" t="s">
        <v>133</v>
      </c>
      <c r="C31" s="416">
        <v>2</v>
      </c>
      <c r="D31" s="416">
        <v>1.5</v>
      </c>
      <c r="E31" s="416"/>
    </row>
    <row r="32" spans="1:5" ht="28.5" customHeight="1">
      <c r="A32" s="413">
        <f t="shared" si="0"/>
        <v>21</v>
      </c>
      <c r="B32" s="67" t="s">
        <v>134</v>
      </c>
      <c r="C32" s="416"/>
      <c r="D32" s="416"/>
      <c r="E32" s="416"/>
    </row>
    <row r="33" spans="1:5" ht="24.75" customHeight="1">
      <c r="A33" s="413">
        <f t="shared" si="0"/>
        <v>22</v>
      </c>
      <c r="B33" s="66" t="s">
        <v>135</v>
      </c>
      <c r="C33" s="416"/>
      <c r="D33" s="416"/>
      <c r="E33" s="416"/>
    </row>
    <row r="34" spans="1:5" ht="26.25" customHeight="1">
      <c r="A34" s="413">
        <f t="shared" si="0"/>
        <v>23</v>
      </c>
      <c r="B34" s="66" t="s">
        <v>136</v>
      </c>
      <c r="C34" s="416"/>
      <c r="D34" s="416"/>
      <c r="E34" s="416"/>
    </row>
    <row r="35" spans="1:5" ht="26.25" customHeight="1">
      <c r="A35" s="419"/>
      <c r="B35" s="423"/>
      <c r="C35" s="420"/>
      <c r="D35" s="420"/>
      <c r="E35" s="420"/>
    </row>
    <row r="36" spans="1:5" ht="26.25" customHeight="1">
      <c r="A36" s="419"/>
      <c r="B36" s="424"/>
      <c r="C36" s="420"/>
      <c r="D36" s="420"/>
      <c r="E36" s="420"/>
    </row>
    <row r="37" spans="1:4" s="398" customFormat="1" ht="16.5" customHeight="1">
      <c r="A37" s="398" t="s">
        <v>647</v>
      </c>
      <c r="D37" s="398" t="s">
        <v>648</v>
      </c>
    </row>
    <row r="38" s="398" customFormat="1" ht="15"/>
    <row r="39" spans="1:4" s="398" customFormat="1" ht="15">
      <c r="A39" s="398" t="s">
        <v>644</v>
      </c>
      <c r="D39" s="398" t="s">
        <v>645</v>
      </c>
    </row>
    <row r="40" s="398" customFormat="1" ht="15"/>
  </sheetData>
  <sheetProtection/>
  <mergeCells count="1">
    <mergeCell ref="B2:D2"/>
  </mergeCells>
  <printOptions horizontalCentered="1"/>
  <pageMargins left="0.7086614173228347" right="0.7086614173228347" top="0.15748031496062992" bottom="0" header="0" footer="0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">
      <selection activeCell="A1" sqref="A1:IV41"/>
    </sheetView>
  </sheetViews>
  <sheetFormatPr defaultColWidth="9.140625" defaultRowHeight="15"/>
  <cols>
    <col min="1" max="1" width="4.140625" style="64" customWidth="1"/>
    <col min="2" max="2" width="64.28125" style="65" customWidth="1"/>
    <col min="3" max="3" width="11.28125" style="65" customWidth="1"/>
    <col min="4" max="4" width="12.00390625" style="65" customWidth="1"/>
    <col min="5" max="5" width="11.57421875" style="65" customWidth="1"/>
    <col min="6" max="16384" width="9.140625" style="65" customWidth="1"/>
  </cols>
  <sheetData>
    <row r="1" s="398" customFormat="1" ht="15"/>
    <row r="2" s="398" customFormat="1" ht="15">
      <c r="D2" s="1" t="s">
        <v>45</v>
      </c>
    </row>
    <row r="3" spans="2:5" ht="16.5">
      <c r="B3" s="86" t="s">
        <v>655</v>
      </c>
      <c r="C3" s="86"/>
      <c r="D3" s="1"/>
      <c r="E3" s="1"/>
    </row>
    <row r="4" spans="2:5" ht="9" customHeight="1">
      <c r="B4" s="1"/>
      <c r="C4" s="1"/>
      <c r="D4" s="1"/>
      <c r="E4" s="1"/>
    </row>
    <row r="5" spans="2:5" ht="15">
      <c r="B5" s="396" t="s">
        <v>646</v>
      </c>
      <c r="C5" s="421"/>
      <c r="D5" s="395"/>
      <c r="E5" s="421"/>
    </row>
    <row r="6" ht="15.75" thickBot="1">
      <c r="E6" s="265"/>
    </row>
    <row r="7" spans="1:5" ht="15">
      <c r="A7" s="68"/>
      <c r="B7" s="5"/>
      <c r="C7" s="5" t="s">
        <v>17</v>
      </c>
      <c r="D7" s="5" t="s">
        <v>18</v>
      </c>
      <c r="E7" s="6" t="s">
        <v>71</v>
      </c>
    </row>
    <row r="8" spans="1:5" ht="15">
      <c r="A8" s="69"/>
      <c r="B8" s="6" t="s">
        <v>19</v>
      </c>
      <c r="C8" s="6">
        <v>2015</v>
      </c>
      <c r="D8" s="6">
        <v>2015</v>
      </c>
      <c r="E8" s="6" t="s">
        <v>72</v>
      </c>
    </row>
    <row r="9" spans="1:5" ht="15.75" thickBot="1">
      <c r="A9" s="70"/>
      <c r="B9" s="7"/>
      <c r="C9" s="4"/>
      <c r="D9" s="4"/>
      <c r="E9" s="7"/>
    </row>
    <row r="10" spans="1:5" ht="15">
      <c r="A10" s="412">
        <v>1</v>
      </c>
      <c r="B10" s="73" t="s">
        <v>652</v>
      </c>
      <c r="C10" s="411">
        <f>C14+C29</f>
        <v>1329.835</v>
      </c>
      <c r="D10" s="411">
        <f>D14+D29</f>
        <v>1195.8000000000002</v>
      </c>
      <c r="E10" s="397">
        <f>D10-C10</f>
        <v>-134.03499999999985</v>
      </c>
    </row>
    <row r="11" spans="1:5" ht="15">
      <c r="A11" s="413" t="s">
        <v>137</v>
      </c>
      <c r="B11" s="66" t="s">
        <v>118</v>
      </c>
      <c r="C11" s="303">
        <f>3880.725/19.5/12*1000</f>
        <v>16584.29487179487</v>
      </c>
      <c r="D11" s="303">
        <v>12847.6</v>
      </c>
      <c r="E11" s="71"/>
    </row>
    <row r="12" spans="1:5" ht="15">
      <c r="A12" s="413" t="s">
        <v>138</v>
      </c>
      <c r="B12" s="66" t="s">
        <v>119</v>
      </c>
      <c r="C12" s="95">
        <f>7.5+9+3</f>
        <v>19.5</v>
      </c>
      <c r="D12" s="95">
        <v>15</v>
      </c>
      <c r="E12" s="71"/>
    </row>
    <row r="13" spans="1:5" ht="15">
      <c r="A13" s="413" t="s">
        <v>139</v>
      </c>
      <c r="B13" s="66" t="s">
        <v>120</v>
      </c>
      <c r="C13" s="71"/>
      <c r="D13" s="71"/>
      <c r="E13" s="71"/>
    </row>
    <row r="14" spans="1:5" ht="15">
      <c r="A14" s="413">
        <f aca="true" t="shared" si="0" ref="A14:A34">A13+1</f>
        <v>3</v>
      </c>
      <c r="B14" s="67" t="s">
        <v>653</v>
      </c>
      <c r="C14" s="397">
        <v>1262.42</v>
      </c>
      <c r="D14" s="397">
        <v>859.07</v>
      </c>
      <c r="E14" s="397">
        <f>D14-C14</f>
        <v>-403.35</v>
      </c>
    </row>
    <row r="15" spans="1:5" ht="15">
      <c r="A15" s="413">
        <f t="shared" si="0"/>
        <v>4</v>
      </c>
      <c r="B15" s="66" t="s">
        <v>121</v>
      </c>
      <c r="C15" s="397">
        <f>C14/C16/12*1000</f>
        <v>14026.888888888889</v>
      </c>
      <c r="D15" s="397">
        <f>D14/D16/12*1000</f>
        <v>10227.023809523811</v>
      </c>
      <c r="E15" s="397">
        <f>D15-C15</f>
        <v>-3799.8650793650777</v>
      </c>
    </row>
    <row r="16" spans="1:5" ht="24">
      <c r="A16" s="413">
        <f t="shared" si="0"/>
        <v>5</v>
      </c>
      <c r="B16" s="66" t="s">
        <v>122</v>
      </c>
      <c r="C16" s="71">
        <v>7.5</v>
      </c>
      <c r="D16" s="71">
        <v>7</v>
      </c>
      <c r="E16" s="71"/>
    </row>
    <row r="17" spans="1:5" ht="15">
      <c r="A17" s="413">
        <f t="shared" si="0"/>
        <v>6</v>
      </c>
      <c r="B17" s="66" t="s">
        <v>123</v>
      </c>
      <c r="C17" s="397">
        <v>5232.32</v>
      </c>
      <c r="D17" s="397">
        <v>4997.44</v>
      </c>
      <c r="E17" s="397">
        <f>D17-C17</f>
        <v>-234.8800000000001</v>
      </c>
    </row>
    <row r="18" spans="1:5" ht="15">
      <c r="A18" s="413">
        <f t="shared" si="0"/>
        <v>7</v>
      </c>
      <c r="B18" s="66" t="s">
        <v>124</v>
      </c>
      <c r="C18" s="397">
        <v>5232.32</v>
      </c>
      <c r="D18" s="397">
        <v>4997.44</v>
      </c>
      <c r="E18" s="397">
        <f>D18-C18</f>
        <v>-234.8800000000001</v>
      </c>
    </row>
    <row r="19" spans="1:5" ht="15">
      <c r="A19" s="413">
        <f t="shared" si="0"/>
        <v>8</v>
      </c>
      <c r="B19" s="66" t="s">
        <v>125</v>
      </c>
      <c r="C19" s="397">
        <v>5232.32</v>
      </c>
      <c r="D19" s="397">
        <v>4997.44</v>
      </c>
      <c r="E19" s="397">
        <f>D19-C19</f>
        <v>-234.8800000000001</v>
      </c>
    </row>
    <row r="20" spans="1:5" ht="15">
      <c r="A20" s="413">
        <f t="shared" si="0"/>
        <v>9</v>
      </c>
      <c r="B20" s="67" t="s">
        <v>126</v>
      </c>
      <c r="C20" s="71"/>
      <c r="D20" s="71"/>
      <c r="E20" s="71"/>
    </row>
    <row r="21" spans="1:5" ht="15">
      <c r="A21" s="413">
        <f t="shared" si="0"/>
        <v>10</v>
      </c>
      <c r="B21" s="66" t="s">
        <v>127</v>
      </c>
      <c r="C21" s="71"/>
      <c r="D21" s="71"/>
      <c r="E21" s="71"/>
    </row>
    <row r="22" spans="1:5" ht="24">
      <c r="A22" s="413">
        <f t="shared" si="0"/>
        <v>11</v>
      </c>
      <c r="B22" s="66" t="s">
        <v>128</v>
      </c>
      <c r="C22" s="71"/>
      <c r="D22" s="71"/>
      <c r="E22" s="71"/>
    </row>
    <row r="23" spans="1:5" ht="15">
      <c r="A23" s="413">
        <f t="shared" si="0"/>
        <v>12</v>
      </c>
      <c r="B23" s="66" t="s">
        <v>123</v>
      </c>
      <c r="C23" s="71"/>
      <c r="D23" s="71"/>
      <c r="E23" s="71"/>
    </row>
    <row r="24" spans="1:5" ht="15">
      <c r="A24" s="413">
        <f t="shared" si="0"/>
        <v>13</v>
      </c>
      <c r="B24" s="66" t="s">
        <v>124</v>
      </c>
      <c r="C24" s="71"/>
      <c r="D24" s="71"/>
      <c r="E24" s="71"/>
    </row>
    <row r="25" spans="1:5" ht="15">
      <c r="A25" s="413">
        <f t="shared" si="0"/>
        <v>14</v>
      </c>
      <c r="B25" s="66" t="s">
        <v>125</v>
      </c>
      <c r="C25" s="71"/>
      <c r="D25" s="71"/>
      <c r="E25" s="71"/>
    </row>
    <row r="26" spans="1:5" ht="15">
      <c r="A26" s="413">
        <f t="shared" si="0"/>
        <v>15</v>
      </c>
      <c r="B26" s="67" t="s">
        <v>129</v>
      </c>
      <c r="C26" s="71"/>
      <c r="D26" s="71"/>
      <c r="E26" s="71"/>
    </row>
    <row r="27" spans="1:5" ht="15">
      <c r="A27" s="413">
        <f t="shared" si="0"/>
        <v>16</v>
      </c>
      <c r="B27" s="66" t="s">
        <v>130</v>
      </c>
      <c r="C27" s="71"/>
      <c r="D27" s="71"/>
      <c r="E27" s="71"/>
    </row>
    <row r="28" spans="1:5" ht="24">
      <c r="A28" s="413">
        <f t="shared" si="0"/>
        <v>17</v>
      </c>
      <c r="B28" s="66" t="s">
        <v>131</v>
      </c>
      <c r="C28" s="71"/>
      <c r="D28" s="71"/>
      <c r="E28" s="71"/>
    </row>
    <row r="29" spans="1:5" ht="15">
      <c r="A29" s="413">
        <f t="shared" si="0"/>
        <v>18</v>
      </c>
      <c r="B29" s="67" t="s">
        <v>654</v>
      </c>
      <c r="C29" s="397">
        <v>67.415</v>
      </c>
      <c r="D29" s="71">
        <v>336.73</v>
      </c>
      <c r="E29" s="397">
        <f>D29-C29</f>
        <v>269.315</v>
      </c>
    </row>
    <row r="30" spans="1:5" ht="15">
      <c r="A30" s="413">
        <f t="shared" si="0"/>
        <v>19</v>
      </c>
      <c r="B30" s="66" t="s">
        <v>132</v>
      </c>
      <c r="C30" s="397">
        <v>17664.31</v>
      </c>
      <c r="D30" s="397">
        <f>D29/D31/12*1000</f>
        <v>18707.222222222223</v>
      </c>
      <c r="E30" s="397">
        <f>D30-C30</f>
        <v>1042.9122222222213</v>
      </c>
    </row>
    <row r="31" spans="1:5" ht="15">
      <c r="A31" s="413">
        <f t="shared" si="0"/>
        <v>20</v>
      </c>
      <c r="B31" s="66" t="s">
        <v>133</v>
      </c>
      <c r="C31" s="71"/>
      <c r="D31" s="71">
        <v>1.5</v>
      </c>
      <c r="E31" s="71"/>
    </row>
    <row r="32" spans="1:5" ht="24">
      <c r="A32" s="413">
        <f t="shared" si="0"/>
        <v>21</v>
      </c>
      <c r="B32" s="67" t="s">
        <v>134</v>
      </c>
      <c r="C32" s="71"/>
      <c r="D32" s="71"/>
      <c r="E32" s="71"/>
    </row>
    <row r="33" spans="1:5" ht="24">
      <c r="A33" s="413">
        <f t="shared" si="0"/>
        <v>22</v>
      </c>
      <c r="B33" s="66" t="s">
        <v>135</v>
      </c>
      <c r="C33" s="71"/>
      <c r="D33" s="71"/>
      <c r="E33" s="71"/>
    </row>
    <row r="34" spans="1:5" ht="24">
      <c r="A34" s="413">
        <f t="shared" si="0"/>
        <v>23</v>
      </c>
      <c r="B34" s="66" t="s">
        <v>136</v>
      </c>
      <c r="C34" s="71"/>
      <c r="D34" s="71"/>
      <c r="E34" s="71"/>
    </row>
    <row r="37" spans="1:4" s="398" customFormat="1" ht="16.5" customHeight="1">
      <c r="A37" s="398" t="s">
        <v>647</v>
      </c>
      <c r="D37" s="398" t="s">
        <v>648</v>
      </c>
    </row>
    <row r="38" s="398" customFormat="1" ht="15"/>
    <row r="39" spans="1:4" s="398" customFormat="1" ht="15">
      <c r="A39" s="398" t="s">
        <v>644</v>
      </c>
      <c r="D39" s="398" t="s">
        <v>645</v>
      </c>
    </row>
  </sheetData>
  <sheetProtection/>
  <printOptions horizontalCentered="1"/>
  <pageMargins left="0.7086614173228347" right="0.7086614173228347" top="0.15748031496062992" bottom="0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6.421875" style="23" customWidth="1"/>
    <col min="2" max="2" width="16.7109375" style="23" customWidth="1"/>
    <col min="3" max="3" width="16.57421875" style="23" customWidth="1"/>
    <col min="4" max="4" width="11.7109375" style="23" customWidth="1"/>
    <col min="5" max="6" width="9.7109375" style="23" customWidth="1"/>
    <col min="7" max="16384" width="9.140625" style="23" customWidth="1"/>
  </cols>
  <sheetData>
    <row r="1" ht="12.75">
      <c r="C1" s="23" t="s">
        <v>421</v>
      </c>
    </row>
    <row r="3" spans="1:6" ht="24.75" customHeight="1">
      <c r="A3" s="496" t="s">
        <v>283</v>
      </c>
      <c r="B3" s="496"/>
      <c r="C3" s="496"/>
      <c r="D3" s="55"/>
      <c r="E3" s="55"/>
      <c r="F3" s="55"/>
    </row>
    <row r="4" spans="1:4" ht="15">
      <c r="A4" s="109"/>
      <c r="B4" s="56"/>
      <c r="C4" s="56"/>
      <c r="D4" s="55"/>
    </row>
    <row r="5" spans="1:3" ht="13.5" thickBot="1">
      <c r="A5" s="108" t="s">
        <v>66</v>
      </c>
      <c r="B5" s="56"/>
      <c r="C5" s="56"/>
    </row>
    <row r="6" spans="1:4" ht="12.75">
      <c r="A6" s="24"/>
      <c r="B6" s="25"/>
      <c r="C6" s="25"/>
      <c r="D6" s="25"/>
    </row>
    <row r="7" spans="1:4" ht="13.5" thickBot="1">
      <c r="A7" s="26"/>
      <c r="B7" s="88"/>
      <c r="C7" s="89" t="s">
        <v>11</v>
      </c>
      <c r="D7" s="88"/>
    </row>
    <row r="8" spans="1:4" ht="12.75">
      <c r="A8" s="27"/>
      <c r="B8" s="50"/>
      <c r="C8" s="50"/>
      <c r="D8" s="50"/>
    </row>
    <row r="9" spans="1:4" ht="22.5" customHeight="1">
      <c r="A9" s="51"/>
      <c r="B9" s="262" t="s">
        <v>576</v>
      </c>
      <c r="C9" s="262" t="s">
        <v>575</v>
      </c>
      <c r="D9" s="51" t="s">
        <v>47</v>
      </c>
    </row>
    <row r="10" spans="1:4" ht="13.5" thickBot="1">
      <c r="A10" s="52"/>
      <c r="B10" s="52"/>
      <c r="C10" s="52"/>
      <c r="D10" s="52"/>
    </row>
    <row r="11" spans="1:4" ht="12.75">
      <c r="A11" s="96"/>
      <c r="B11" s="34"/>
      <c r="C11" s="34"/>
      <c r="D11" s="34"/>
    </row>
    <row r="12" spans="1:4" ht="12.75">
      <c r="A12" s="30"/>
      <c r="B12" s="34"/>
      <c r="C12" s="34"/>
      <c r="D12" s="34"/>
    </row>
    <row r="13" spans="1:4" ht="12.75">
      <c r="A13" s="102"/>
      <c r="B13" s="34"/>
      <c r="C13" s="34"/>
      <c r="D13" s="34"/>
    </row>
    <row r="14" spans="1:4" ht="12.75">
      <c r="A14" s="103"/>
      <c r="B14" s="37"/>
      <c r="C14" s="29"/>
      <c r="D14" s="34"/>
    </row>
    <row r="15" spans="1:4" ht="12.75">
      <c r="A15" s="105"/>
      <c r="B15" s="29"/>
      <c r="C15" s="29"/>
      <c r="D15" s="34"/>
    </row>
    <row r="16" spans="1:4" ht="12.75">
      <c r="A16" s="103"/>
      <c r="B16" s="34"/>
      <c r="C16" s="34"/>
      <c r="D16" s="34"/>
    </row>
    <row r="17" spans="1:4" ht="13.5">
      <c r="A17" s="112" t="s">
        <v>73</v>
      </c>
      <c r="B17" s="29"/>
      <c r="C17" s="41"/>
      <c r="D17" s="34"/>
    </row>
    <row r="18" ht="12.75">
      <c r="E18" s="23">
        <v>0</v>
      </c>
    </row>
    <row r="19" ht="12.75">
      <c r="A19" s="23" t="s">
        <v>279</v>
      </c>
    </row>
    <row r="20" ht="12.75">
      <c r="A20" s="23" t="s">
        <v>276</v>
      </c>
    </row>
    <row r="21" ht="12.75">
      <c r="A21" s="23" t="s">
        <v>277</v>
      </c>
    </row>
    <row r="22" ht="12.75">
      <c r="A22" s="23" t="s">
        <v>278</v>
      </c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31" sqref="A31:IV34"/>
    </sheetView>
  </sheetViews>
  <sheetFormatPr defaultColWidth="9.140625" defaultRowHeight="15" outlineLevelRow="1"/>
  <cols>
    <col min="1" max="1" width="5.7109375" style="23" customWidth="1"/>
    <col min="2" max="2" width="19.28125" style="23" customWidth="1"/>
    <col min="3" max="3" width="11.28125" style="23" customWidth="1"/>
    <col min="4" max="4" width="10.421875" style="23" customWidth="1"/>
    <col min="5" max="6" width="9.7109375" style="23" customWidth="1"/>
    <col min="7" max="16384" width="9.140625" style="23" customWidth="1"/>
  </cols>
  <sheetData>
    <row r="1" ht="12.75">
      <c r="L1" s="23" t="s">
        <v>422</v>
      </c>
    </row>
    <row r="3" spans="1:5" s="100" customFormat="1" ht="24.75" customHeight="1">
      <c r="A3" s="496" t="s">
        <v>282</v>
      </c>
      <c r="B3" s="504"/>
      <c r="C3" s="504"/>
      <c r="D3" s="179"/>
      <c r="E3" s="179"/>
    </row>
    <row r="4" spans="1:5" s="100" customFormat="1" ht="16.5" customHeight="1">
      <c r="A4" s="177"/>
      <c r="B4" s="179"/>
      <c r="C4" s="179"/>
      <c r="D4" s="179"/>
      <c r="E4" s="179"/>
    </row>
    <row r="5" spans="2:12" s="180" customFormat="1" ht="12.75">
      <c r="B5" s="23" t="s">
        <v>453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4" s="180" customFormat="1" ht="12.75">
      <c r="B6" s="23"/>
      <c r="C6" s="181"/>
      <c r="D6" s="181"/>
      <c r="E6" s="181"/>
      <c r="F6" s="181"/>
      <c r="G6" s="181"/>
      <c r="H6" s="181"/>
      <c r="I6" s="181"/>
      <c r="J6" s="181"/>
      <c r="K6" s="181"/>
      <c r="L6" s="181"/>
      <c r="N6" s="182" t="s">
        <v>448</v>
      </c>
    </row>
    <row r="7" spans="1:14" ht="39.75" customHeight="1">
      <c r="A7" s="500" t="s">
        <v>23</v>
      </c>
      <c r="B7" s="502" t="s">
        <v>66</v>
      </c>
      <c r="C7" s="497" t="s">
        <v>54</v>
      </c>
      <c r="D7" s="498"/>
      <c r="E7" s="499"/>
      <c r="F7" s="497" t="s">
        <v>449</v>
      </c>
      <c r="G7" s="498"/>
      <c r="H7" s="499"/>
      <c r="I7" s="497" t="s">
        <v>450</v>
      </c>
      <c r="J7" s="498"/>
      <c r="K7" s="499"/>
      <c r="L7" s="497" t="s">
        <v>451</v>
      </c>
      <c r="M7" s="498"/>
      <c r="N7" s="499"/>
    </row>
    <row r="8" spans="1:14" ht="25.5">
      <c r="A8" s="501"/>
      <c r="B8" s="503"/>
      <c r="C8" s="183" t="s">
        <v>577</v>
      </c>
      <c r="D8" s="183" t="s">
        <v>578</v>
      </c>
      <c r="E8" s="183" t="s">
        <v>452</v>
      </c>
      <c r="F8" s="183" t="s">
        <v>577</v>
      </c>
      <c r="G8" s="183" t="s">
        <v>578</v>
      </c>
      <c r="H8" s="183" t="s">
        <v>452</v>
      </c>
      <c r="I8" s="183" t="s">
        <v>577</v>
      </c>
      <c r="J8" s="183" t="s">
        <v>578</v>
      </c>
      <c r="K8" s="183" t="s">
        <v>452</v>
      </c>
      <c r="L8" s="183" t="s">
        <v>577</v>
      </c>
      <c r="M8" s="183" t="s">
        <v>578</v>
      </c>
      <c r="N8" s="183" t="s">
        <v>452</v>
      </c>
    </row>
    <row r="9" spans="1:14" ht="12.75">
      <c r="A9" s="184">
        <v>1</v>
      </c>
      <c r="B9" s="185" t="s">
        <v>593</v>
      </c>
      <c r="C9" s="183"/>
      <c r="D9" s="183"/>
      <c r="E9" s="183"/>
      <c r="F9" s="183"/>
      <c r="G9" s="183">
        <f>63.68+71.64</f>
        <v>135.32</v>
      </c>
      <c r="H9" s="183"/>
      <c r="I9" s="183"/>
      <c r="J9" s="183"/>
      <c r="K9" s="183"/>
      <c r="L9" s="183"/>
      <c r="M9" s="183">
        <f>D9+G9+J9</f>
        <v>135.32</v>
      </c>
      <c r="N9" s="183"/>
    </row>
    <row r="10" spans="1:12" s="180" customFormat="1" ht="12.75">
      <c r="A10" s="23"/>
      <c r="B10" s="23"/>
      <c r="C10" s="181"/>
      <c r="D10" s="181"/>
      <c r="E10" s="181"/>
      <c r="F10" s="181"/>
      <c r="G10" s="181"/>
      <c r="H10" s="181"/>
      <c r="I10" s="181"/>
      <c r="J10" s="181"/>
      <c r="K10" s="181"/>
      <c r="L10" s="181"/>
    </row>
    <row r="11" spans="1:12" s="180" customFormat="1" ht="12.75">
      <c r="A11" s="23"/>
      <c r="B11" s="23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2:12" s="180" customFormat="1" ht="12.75">
      <c r="B12" s="23" t="s">
        <v>454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2:14" s="180" customFormat="1" ht="12.75">
      <c r="B13" s="23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N13" s="182" t="s">
        <v>448</v>
      </c>
    </row>
    <row r="14" spans="1:14" s="180" customFormat="1" ht="33.75" customHeight="1">
      <c r="A14" s="500" t="s">
        <v>23</v>
      </c>
      <c r="B14" s="502" t="s">
        <v>66</v>
      </c>
      <c r="C14" s="497" t="s">
        <v>54</v>
      </c>
      <c r="D14" s="498"/>
      <c r="E14" s="499"/>
      <c r="F14" s="497" t="s">
        <v>449</v>
      </c>
      <c r="G14" s="498"/>
      <c r="H14" s="499"/>
      <c r="I14" s="497" t="s">
        <v>450</v>
      </c>
      <c r="J14" s="498"/>
      <c r="K14" s="499"/>
      <c r="L14" s="497" t="s">
        <v>451</v>
      </c>
      <c r="M14" s="498"/>
      <c r="N14" s="499"/>
    </row>
    <row r="15" spans="1:14" s="180" customFormat="1" ht="25.5">
      <c r="A15" s="501"/>
      <c r="B15" s="503"/>
      <c r="C15" s="183" t="s">
        <v>577</v>
      </c>
      <c r="D15" s="183" t="s">
        <v>578</v>
      </c>
      <c r="E15" s="183" t="s">
        <v>452</v>
      </c>
      <c r="F15" s="183" t="s">
        <v>577</v>
      </c>
      <c r="G15" s="183" t="s">
        <v>578</v>
      </c>
      <c r="H15" s="183" t="s">
        <v>452</v>
      </c>
      <c r="I15" s="183" t="s">
        <v>577</v>
      </c>
      <c r="J15" s="183" t="s">
        <v>578</v>
      </c>
      <c r="K15" s="183" t="s">
        <v>452</v>
      </c>
      <c r="L15" s="183" t="s">
        <v>577</v>
      </c>
      <c r="M15" s="183" t="s">
        <v>578</v>
      </c>
      <c r="N15" s="183" t="s">
        <v>452</v>
      </c>
    </row>
    <row r="16" spans="1:14" s="180" customFormat="1" ht="12.75">
      <c r="A16" s="184">
        <v>1</v>
      </c>
      <c r="B16" s="185" t="s">
        <v>593</v>
      </c>
      <c r="C16" s="183"/>
      <c r="D16" s="183"/>
      <c r="E16" s="183"/>
      <c r="F16" s="183"/>
      <c r="G16" s="183">
        <f>26.07+129.57+31.5+8.05</f>
        <v>195.19</v>
      </c>
      <c r="H16" s="183"/>
      <c r="I16" s="183"/>
      <c r="J16" s="183"/>
      <c r="K16" s="183"/>
      <c r="L16" s="183"/>
      <c r="M16" s="183">
        <f>D16+G16+J16</f>
        <v>195.19</v>
      </c>
      <c r="N16" s="183"/>
    </row>
    <row r="17" spans="2:12" s="180" customFormat="1" ht="12.75">
      <c r="B17" s="23"/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2:12" s="180" customFormat="1" ht="12.75">
      <c r="B18" s="23"/>
      <c r="C18" s="181"/>
      <c r="D18" s="181"/>
      <c r="E18" s="181"/>
      <c r="F18" s="181"/>
      <c r="G18" s="181"/>
      <c r="H18" s="181"/>
      <c r="I18" s="181"/>
      <c r="J18" s="181"/>
      <c r="K18" s="181"/>
      <c r="L18" s="181"/>
    </row>
    <row r="19" spans="2:12" s="180" customFormat="1" ht="12.75" hidden="1" outlineLevel="1">
      <c r="B19" s="23" t="s">
        <v>455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2:14" s="180" customFormat="1" ht="12.75" hidden="1" outlineLevel="1">
      <c r="B20" s="23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N20" s="182" t="s">
        <v>448</v>
      </c>
    </row>
    <row r="21" spans="1:14" s="180" customFormat="1" ht="12.75" hidden="1" outlineLevel="1">
      <c r="A21" s="500" t="s">
        <v>23</v>
      </c>
      <c r="B21" s="502" t="s">
        <v>66</v>
      </c>
      <c r="C21" s="497" t="s">
        <v>54</v>
      </c>
      <c r="D21" s="498"/>
      <c r="E21" s="499"/>
      <c r="F21" s="497" t="s">
        <v>449</v>
      </c>
      <c r="G21" s="498"/>
      <c r="H21" s="499"/>
      <c r="I21" s="497" t="s">
        <v>450</v>
      </c>
      <c r="J21" s="498"/>
      <c r="K21" s="499"/>
      <c r="L21" s="497" t="s">
        <v>451</v>
      </c>
      <c r="M21" s="498"/>
      <c r="N21" s="499"/>
    </row>
    <row r="22" spans="1:14" s="180" customFormat="1" ht="25.5" hidden="1" outlineLevel="1">
      <c r="A22" s="501"/>
      <c r="B22" s="503"/>
      <c r="C22" s="183" t="s">
        <v>577</v>
      </c>
      <c r="D22" s="183" t="s">
        <v>578</v>
      </c>
      <c r="E22" s="183" t="s">
        <v>452</v>
      </c>
      <c r="F22" s="183" t="s">
        <v>577</v>
      </c>
      <c r="G22" s="183" t="s">
        <v>578</v>
      </c>
      <c r="H22" s="183" t="s">
        <v>452</v>
      </c>
      <c r="I22" s="183" t="s">
        <v>577</v>
      </c>
      <c r="J22" s="183" t="s">
        <v>578</v>
      </c>
      <c r="K22" s="183" t="s">
        <v>452</v>
      </c>
      <c r="L22" s="183" t="s">
        <v>577</v>
      </c>
      <c r="M22" s="183" t="s">
        <v>578</v>
      </c>
      <c r="N22" s="183" t="s">
        <v>452</v>
      </c>
    </row>
    <row r="23" spans="1:14" s="180" customFormat="1" ht="12.75" hidden="1" outlineLevel="1">
      <c r="A23" s="184">
        <v>1</v>
      </c>
      <c r="B23" s="185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</row>
    <row r="24" spans="1:5" s="100" customFormat="1" ht="16.5" customHeight="1" hidden="1" outlineLevel="1">
      <c r="A24" s="177"/>
      <c r="B24" s="179"/>
      <c r="C24" s="179"/>
      <c r="D24" s="179"/>
      <c r="E24" s="179"/>
    </row>
    <row r="25" ht="12.75" collapsed="1"/>
    <row r="26" ht="12.75" hidden="1" outlineLevel="1">
      <c r="A26" s="23" t="s">
        <v>358</v>
      </c>
    </row>
    <row r="27" ht="12.75" hidden="1" outlineLevel="1">
      <c r="A27" s="23" t="s">
        <v>359</v>
      </c>
    </row>
    <row r="28" ht="12.75" hidden="1" outlineLevel="1">
      <c r="A28" s="23" t="s">
        <v>357</v>
      </c>
    </row>
    <row r="29" ht="12.75" hidden="1" outlineLevel="1">
      <c r="A29" s="23" t="s">
        <v>360</v>
      </c>
    </row>
    <row r="30" ht="12.75" collapsed="1"/>
    <row r="31" spans="1:12" s="398" customFormat="1" ht="16.5" customHeight="1">
      <c r="A31" s="398" t="s">
        <v>647</v>
      </c>
      <c r="L31" s="398" t="s">
        <v>648</v>
      </c>
    </row>
    <row r="32" s="398" customFormat="1" ht="15"/>
    <row r="33" s="398" customFormat="1" ht="15"/>
    <row r="34" spans="1:12" s="398" customFormat="1" ht="15">
      <c r="A34" s="398" t="s">
        <v>644</v>
      </c>
      <c r="L34" s="398" t="s">
        <v>645</v>
      </c>
    </row>
  </sheetData>
  <sheetProtection/>
  <mergeCells count="19">
    <mergeCell ref="I21:K21"/>
    <mergeCell ref="B21:B22"/>
    <mergeCell ref="C21:E21"/>
    <mergeCell ref="F21:H21"/>
    <mergeCell ref="I7:K7"/>
    <mergeCell ref="A3:C3"/>
    <mergeCell ref="A7:A8"/>
    <mergeCell ref="B7:B8"/>
    <mergeCell ref="C7:E7"/>
    <mergeCell ref="L21:N21"/>
    <mergeCell ref="L7:N7"/>
    <mergeCell ref="A14:A15"/>
    <mergeCell ref="B14:B15"/>
    <mergeCell ref="C14:E14"/>
    <mergeCell ref="F14:H14"/>
    <mergeCell ref="I14:K14"/>
    <mergeCell ref="L14:N14"/>
    <mergeCell ref="F7:H7"/>
    <mergeCell ref="A21:A22"/>
  </mergeCells>
  <printOptions/>
  <pageMargins left="0.7086614173228347" right="0.11811023622047245" top="0.3937007874015748" bottom="0.7480314960629921" header="0" footer="0.31496062992125984"/>
  <pageSetup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36.421875" style="23" customWidth="1"/>
    <col min="2" max="2" width="19.28125" style="23" customWidth="1"/>
    <col min="3" max="3" width="16.57421875" style="23" customWidth="1"/>
    <col min="4" max="4" width="11.7109375" style="23" customWidth="1"/>
    <col min="5" max="6" width="9.7109375" style="23" customWidth="1"/>
    <col min="7" max="16384" width="9.140625" style="23" customWidth="1"/>
  </cols>
  <sheetData>
    <row r="1" ht="12.75">
      <c r="C1" s="23" t="s">
        <v>412</v>
      </c>
    </row>
    <row r="3" spans="1:3" ht="16.5" customHeight="1">
      <c r="A3" s="479" t="s">
        <v>414</v>
      </c>
      <c r="B3" s="479"/>
      <c r="C3" s="479"/>
    </row>
    <row r="4" spans="1:3" ht="13.5" thickBot="1">
      <c r="A4" s="56" t="s">
        <v>632</v>
      </c>
      <c r="B4" s="56"/>
      <c r="C4" s="56"/>
    </row>
    <row r="5" spans="1:4" ht="13.5">
      <c r="A5" s="24" t="s">
        <v>631</v>
      </c>
      <c r="B5" s="25"/>
      <c r="C5" s="25"/>
      <c r="D5" s="25"/>
    </row>
    <row r="6" spans="1:4" ht="13.5" thickBot="1">
      <c r="A6" s="26"/>
      <c r="B6" s="88"/>
      <c r="C6" s="89" t="s">
        <v>11</v>
      </c>
      <c r="D6" s="88"/>
    </row>
    <row r="7" spans="1:4" ht="12.75">
      <c r="A7" s="87"/>
      <c r="B7" s="50"/>
      <c r="C7" s="50"/>
      <c r="D7" s="50"/>
    </row>
    <row r="8" spans="1:4" ht="12.75">
      <c r="A8" s="91" t="s">
        <v>245</v>
      </c>
      <c r="B8" s="51" t="s">
        <v>458</v>
      </c>
      <c r="C8" s="51" t="s">
        <v>459</v>
      </c>
      <c r="D8" s="51" t="s">
        <v>47</v>
      </c>
    </row>
    <row r="9" spans="1:4" ht="13.5" thickBot="1">
      <c r="A9" s="90"/>
      <c r="B9" s="52"/>
      <c r="C9" s="52"/>
      <c r="D9" s="52"/>
    </row>
    <row r="10" spans="1:4" ht="12.75">
      <c r="A10" s="111" t="s">
        <v>247</v>
      </c>
      <c r="B10" s="34">
        <f>B12+B15+B16</f>
        <v>67.25999999999999</v>
      </c>
      <c r="C10" s="34">
        <f>C12+C15+C16</f>
        <v>142.04</v>
      </c>
      <c r="D10" s="34">
        <f>C10-B10</f>
        <v>74.78</v>
      </c>
    </row>
    <row r="11" spans="1:4" ht="12.75">
      <c r="A11" s="111" t="s">
        <v>92</v>
      </c>
      <c r="B11" s="34"/>
      <c r="C11" s="34"/>
      <c r="D11" s="34"/>
    </row>
    <row r="12" spans="1:4" ht="13.5">
      <c r="A12" s="112" t="s">
        <v>246</v>
      </c>
      <c r="B12" s="34"/>
      <c r="C12" s="34"/>
      <c r="D12" s="34"/>
    </row>
    <row r="13" spans="1:4" ht="12.75">
      <c r="A13" s="113" t="s">
        <v>51</v>
      </c>
      <c r="B13" s="37"/>
      <c r="C13" s="29"/>
      <c r="D13" s="34"/>
    </row>
    <row r="14" spans="1:4" ht="12.75">
      <c r="A14" s="113" t="s">
        <v>52</v>
      </c>
      <c r="B14" s="29"/>
      <c r="C14" s="29"/>
      <c r="D14" s="34"/>
    </row>
    <row r="15" spans="1:4" ht="13.5">
      <c r="A15" s="114" t="s">
        <v>53</v>
      </c>
      <c r="B15" s="34"/>
      <c r="C15" s="34"/>
      <c r="D15" s="34"/>
    </row>
    <row r="16" spans="1:4" ht="13.5">
      <c r="A16" s="112" t="s">
        <v>579</v>
      </c>
      <c r="B16" s="29">
        <f>SUM(B19:B20)</f>
        <v>67.25999999999999</v>
      </c>
      <c r="C16" s="29">
        <f>SUM(C18:C21)</f>
        <v>142.04</v>
      </c>
      <c r="D16" s="34">
        <f>C16-B16</f>
        <v>74.78</v>
      </c>
    </row>
    <row r="17" spans="1:4" ht="12.75">
      <c r="A17" s="115" t="s">
        <v>580</v>
      </c>
      <c r="B17" s="29"/>
      <c r="C17" s="41"/>
      <c r="D17" s="34"/>
    </row>
    <row r="18" spans="1:4" ht="12.75">
      <c r="A18" s="307" t="s">
        <v>444</v>
      </c>
      <c r="B18" s="29"/>
      <c r="C18" s="41">
        <v>127.8</v>
      </c>
      <c r="D18" s="34">
        <f>C18-B18</f>
        <v>127.8</v>
      </c>
    </row>
    <row r="19" spans="1:4" ht="25.5">
      <c r="A19" s="392" t="s">
        <v>639</v>
      </c>
      <c r="B19" s="29">
        <v>32.54</v>
      </c>
      <c r="C19" s="41">
        <v>0.7</v>
      </c>
      <c r="D19" s="34">
        <f>C19-B19</f>
        <v>-31.84</v>
      </c>
    </row>
    <row r="20" spans="1:4" ht="12.75">
      <c r="A20" s="307" t="s">
        <v>633</v>
      </c>
      <c r="B20" s="29">
        <v>34.72</v>
      </c>
      <c r="C20" s="41"/>
      <c r="D20" s="34">
        <f>C20-B20</f>
        <v>-34.72</v>
      </c>
    </row>
    <row r="21" spans="1:4" ht="12.75">
      <c r="A21" s="307" t="s">
        <v>643</v>
      </c>
      <c r="B21" s="29"/>
      <c r="C21" s="41">
        <v>13.54</v>
      </c>
      <c r="D21" s="34">
        <f>C21-B21</f>
        <v>13.54</v>
      </c>
    </row>
    <row r="22" spans="1:4" ht="13.5">
      <c r="A22" s="308"/>
      <c r="B22" s="29"/>
      <c r="C22" s="29"/>
      <c r="D22" s="34"/>
    </row>
    <row r="23" spans="1:4" ht="13.5">
      <c r="A23" s="306"/>
      <c r="B23" s="29"/>
      <c r="C23" s="29"/>
      <c r="D23" s="34"/>
    </row>
    <row r="24" spans="1:4" ht="13.5">
      <c r="A24" s="308"/>
      <c r="B24" s="29"/>
      <c r="C24" s="29"/>
      <c r="D24" s="34"/>
    </row>
    <row r="25" spans="1:4" ht="13.5">
      <c r="A25" s="306"/>
      <c r="B25" s="34"/>
      <c r="C25" s="34"/>
      <c r="D25" s="34"/>
    </row>
    <row r="26" spans="1:4" ht="12.75">
      <c r="A26" s="44"/>
      <c r="B26" s="44"/>
      <c r="C26" s="45"/>
      <c r="D26" s="44"/>
    </row>
    <row r="27" spans="1:4" ht="12.75">
      <c r="A27" s="44"/>
      <c r="B27" s="44"/>
      <c r="C27" s="45"/>
      <c r="D27" s="44"/>
    </row>
    <row r="28" spans="1:4" ht="12.75">
      <c r="A28" s="44"/>
      <c r="B28" s="44"/>
      <c r="C28" s="45"/>
      <c r="D28" s="44"/>
    </row>
    <row r="29" spans="1:4" ht="12.75">
      <c r="A29" s="44"/>
      <c r="B29" s="44"/>
      <c r="C29" s="45"/>
      <c r="D29" s="44"/>
    </row>
    <row r="30" spans="1:3" s="398" customFormat="1" ht="16.5" customHeight="1">
      <c r="A30" s="398" t="s">
        <v>647</v>
      </c>
      <c r="C30" s="398" t="s">
        <v>648</v>
      </c>
    </row>
    <row r="31" s="398" customFormat="1" ht="15"/>
    <row r="32" s="398" customFormat="1" ht="15"/>
    <row r="33" spans="1:3" s="398" customFormat="1" ht="15">
      <c r="A33" s="398" t="s">
        <v>644</v>
      </c>
      <c r="C33" s="398" t="s">
        <v>645</v>
      </c>
    </row>
    <row r="34" s="398" customFormat="1" ht="15"/>
  </sheetData>
  <sheetProtection/>
  <mergeCells count="1">
    <mergeCell ref="A3:C3"/>
  </mergeCells>
  <printOptions/>
  <pageMargins left="0.7086614173228347" right="0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6.421875" style="23" customWidth="1"/>
    <col min="2" max="2" width="19.28125" style="23" customWidth="1"/>
    <col min="3" max="3" width="16.57421875" style="23" customWidth="1"/>
    <col min="4" max="4" width="11.7109375" style="23" customWidth="1"/>
    <col min="5" max="6" width="9.7109375" style="23" customWidth="1"/>
    <col min="7" max="16384" width="9.140625" style="23" customWidth="1"/>
  </cols>
  <sheetData>
    <row r="1" s="398" customFormat="1" ht="15"/>
    <row r="2" spans="1:4" ht="12.75">
      <c r="A2" s="44"/>
      <c r="B2" s="44"/>
      <c r="C2" s="23" t="s">
        <v>412</v>
      </c>
      <c r="D2" s="44"/>
    </row>
    <row r="3" spans="1:4" ht="12.75">
      <c r="A3" s="46"/>
      <c r="B3" s="45"/>
      <c r="C3" s="46"/>
      <c r="D3" s="44"/>
    </row>
    <row r="4" spans="1:3" ht="12.75">
      <c r="A4" s="479" t="s">
        <v>414</v>
      </c>
      <c r="B4" s="479"/>
      <c r="C4" s="479"/>
    </row>
    <row r="5" spans="1:3" ht="13.5" thickBot="1">
      <c r="A5" s="389" t="s">
        <v>638</v>
      </c>
      <c r="B5" s="56"/>
      <c r="C5" s="56"/>
    </row>
    <row r="6" spans="1:4" ht="13.5">
      <c r="A6" s="24" t="s">
        <v>631</v>
      </c>
      <c r="B6" s="25"/>
      <c r="C6" s="25"/>
      <c r="D6" s="25"/>
    </row>
    <row r="7" spans="1:4" ht="13.5" thickBot="1">
      <c r="A7" s="26"/>
      <c r="B7" s="88"/>
      <c r="C7" s="89" t="s">
        <v>11</v>
      </c>
      <c r="D7" s="88"/>
    </row>
    <row r="8" spans="1:4" ht="12.75">
      <c r="A8" s="87"/>
      <c r="B8" s="50"/>
      <c r="C8" s="50"/>
      <c r="D8" s="50"/>
    </row>
    <row r="9" spans="1:4" ht="12.75">
      <c r="A9" s="91" t="s">
        <v>245</v>
      </c>
      <c r="B9" s="51" t="s">
        <v>458</v>
      </c>
      <c r="C9" s="51" t="s">
        <v>459</v>
      </c>
      <c r="D9" s="51" t="s">
        <v>47</v>
      </c>
    </row>
    <row r="10" spans="1:4" ht="13.5" thickBot="1">
      <c r="A10" s="90"/>
      <c r="B10" s="52"/>
      <c r="C10" s="52"/>
      <c r="D10" s="52"/>
    </row>
    <row r="11" spans="1:4" ht="17.25" customHeight="1">
      <c r="A11" s="111" t="s">
        <v>247</v>
      </c>
      <c r="B11" s="305">
        <f>B13+B16+B17</f>
        <v>30.33</v>
      </c>
      <c r="C11" s="305">
        <f>C13+C16+C17</f>
        <v>112.65</v>
      </c>
      <c r="D11" s="34">
        <f>C11-B11</f>
        <v>82.32000000000001</v>
      </c>
    </row>
    <row r="12" spans="1:4" ht="12.75">
      <c r="A12" s="111" t="s">
        <v>92</v>
      </c>
      <c r="B12" s="305"/>
      <c r="C12" s="305"/>
      <c r="D12" s="34"/>
    </row>
    <row r="13" spans="1:4" ht="13.5">
      <c r="A13" s="112" t="s">
        <v>246</v>
      </c>
      <c r="B13" s="305"/>
      <c r="C13" s="305"/>
      <c r="D13" s="34"/>
    </row>
    <row r="14" spans="1:4" ht="12.75">
      <c r="A14" s="113" t="s">
        <v>51</v>
      </c>
      <c r="B14" s="305"/>
      <c r="C14" s="305"/>
      <c r="D14" s="34"/>
    </row>
    <row r="15" spans="1:4" ht="12.75">
      <c r="A15" s="113" t="s">
        <v>52</v>
      </c>
      <c r="B15" s="305"/>
      <c r="C15" s="305"/>
      <c r="D15" s="34"/>
    </row>
    <row r="16" spans="1:4" ht="13.5">
      <c r="A16" s="114" t="s">
        <v>53</v>
      </c>
      <c r="B16" s="305"/>
      <c r="C16" s="305"/>
      <c r="D16" s="34"/>
    </row>
    <row r="17" spans="1:4" ht="13.5">
      <c r="A17" s="112" t="s">
        <v>579</v>
      </c>
      <c r="B17" s="305">
        <f>SUM(B19:B23)</f>
        <v>30.33</v>
      </c>
      <c r="C17" s="305">
        <f>SUM(C19:C23)</f>
        <v>112.65</v>
      </c>
      <c r="D17" s="305">
        <f>SUM(D19:D23)</f>
        <v>82.32000000000001</v>
      </c>
    </row>
    <row r="18" spans="1:4" ht="12.75">
      <c r="A18" s="115" t="s">
        <v>580</v>
      </c>
      <c r="B18" s="305"/>
      <c r="C18" s="309"/>
      <c r="D18" s="34"/>
    </row>
    <row r="19" spans="1:4" ht="12.75">
      <c r="A19" s="391" t="s">
        <v>444</v>
      </c>
      <c r="B19" s="305"/>
      <c r="C19" s="309">
        <v>83.94</v>
      </c>
      <c r="D19" s="34">
        <f>C19-B19</f>
        <v>83.94</v>
      </c>
    </row>
    <row r="20" spans="1:4" ht="12.75">
      <c r="A20" s="390" t="s">
        <v>640</v>
      </c>
      <c r="B20" s="305"/>
      <c r="C20" s="309">
        <v>24.2</v>
      </c>
      <c r="D20" s="34">
        <f>C20-B20</f>
        <v>24.2</v>
      </c>
    </row>
    <row r="21" spans="1:4" ht="25.5">
      <c r="A21" s="391" t="s">
        <v>639</v>
      </c>
      <c r="B21" s="305">
        <v>20.33</v>
      </c>
      <c r="C21" s="309">
        <v>2.31</v>
      </c>
      <c r="D21" s="34">
        <f>C21-B21</f>
        <v>-18.02</v>
      </c>
    </row>
    <row r="22" spans="1:4" ht="12.75">
      <c r="A22" s="391" t="s">
        <v>641</v>
      </c>
      <c r="B22" s="305">
        <v>10</v>
      </c>
      <c r="C22" s="305">
        <v>0.7</v>
      </c>
      <c r="D22" s="34">
        <f>C22-B22</f>
        <v>-9.3</v>
      </c>
    </row>
    <row r="23" spans="1:4" ht="12.75">
      <c r="A23" s="391" t="s">
        <v>642</v>
      </c>
      <c r="B23" s="305"/>
      <c r="C23" s="305">
        <v>1.5</v>
      </c>
      <c r="D23" s="34">
        <f>C23-B23</f>
        <v>1.5</v>
      </c>
    </row>
    <row r="24" spans="1:4" ht="13.5">
      <c r="A24" s="308"/>
      <c r="B24" s="305"/>
      <c r="C24" s="305"/>
      <c r="D24" s="34"/>
    </row>
    <row r="25" spans="1:4" ht="13.5">
      <c r="A25" s="306"/>
      <c r="B25" s="34"/>
      <c r="C25" s="34"/>
      <c r="D25" s="34"/>
    </row>
    <row r="26" spans="1:4" ht="12.75">
      <c r="A26" s="307"/>
      <c r="B26" s="29"/>
      <c r="C26" s="29"/>
      <c r="D26" s="34"/>
    </row>
    <row r="29" spans="1:3" s="398" customFormat="1" ht="16.5" customHeight="1">
      <c r="A29" s="398" t="s">
        <v>647</v>
      </c>
      <c r="C29" s="398" t="s">
        <v>648</v>
      </c>
    </row>
    <row r="30" s="398" customFormat="1" ht="15"/>
    <row r="31" s="398" customFormat="1" ht="15"/>
    <row r="32" spans="1:3" s="398" customFormat="1" ht="15">
      <c r="A32" s="398" t="s">
        <v>644</v>
      </c>
      <c r="C32" s="398" t="s">
        <v>645</v>
      </c>
    </row>
  </sheetData>
  <sheetProtection/>
  <mergeCells count="1">
    <mergeCell ref="A4:C4"/>
  </mergeCells>
  <printOptions/>
  <pageMargins left="0.7086614173228347" right="0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0">
      <selection activeCell="C42" sqref="C42"/>
    </sheetView>
  </sheetViews>
  <sheetFormatPr defaultColWidth="9.140625" defaultRowHeight="15"/>
  <cols>
    <col min="1" max="1" width="36.421875" style="23" customWidth="1"/>
    <col min="2" max="2" width="19.28125" style="23" customWidth="1"/>
    <col min="3" max="3" width="16.57421875" style="23" customWidth="1"/>
    <col min="4" max="4" width="11.7109375" style="23" customWidth="1"/>
    <col min="5" max="6" width="9.7109375" style="23" customWidth="1"/>
    <col min="7" max="16384" width="9.140625" style="23" customWidth="1"/>
  </cols>
  <sheetData>
    <row r="1" ht="12.75">
      <c r="C1" s="23" t="s">
        <v>447</v>
      </c>
    </row>
    <row r="3" spans="1:5" ht="15">
      <c r="A3" s="479" t="s">
        <v>413</v>
      </c>
      <c r="B3" s="479"/>
      <c r="C3" s="479"/>
      <c r="D3" s="495"/>
      <c r="E3" s="495"/>
    </row>
    <row r="4" spans="1:3" ht="13.5" thickBot="1">
      <c r="A4" s="56"/>
      <c r="B4" s="56"/>
      <c r="C4" s="56"/>
    </row>
    <row r="5" spans="1:4" ht="13.5">
      <c r="A5" s="24" t="s">
        <v>631</v>
      </c>
      <c r="B5" s="25"/>
      <c r="C5" s="25"/>
      <c r="D5" s="25"/>
    </row>
    <row r="6" spans="1:4" ht="13.5" thickBot="1">
      <c r="A6" s="26"/>
      <c r="B6" s="88"/>
      <c r="C6" s="89" t="s">
        <v>11</v>
      </c>
      <c r="D6" s="88"/>
    </row>
    <row r="7" spans="1:4" ht="12.75">
      <c r="A7" s="27"/>
      <c r="B7" s="50"/>
      <c r="C7" s="50"/>
      <c r="D7" s="50"/>
    </row>
    <row r="8" spans="1:4" ht="12.75">
      <c r="A8" s="51" t="s">
        <v>245</v>
      </c>
      <c r="B8" s="51" t="s">
        <v>458</v>
      </c>
      <c r="C8" s="51" t="s">
        <v>459</v>
      </c>
      <c r="D8" s="51" t="s">
        <v>47</v>
      </c>
    </row>
    <row r="9" spans="1:4" ht="13.5" thickBot="1">
      <c r="A9" s="97"/>
      <c r="B9" s="52"/>
      <c r="C9" s="52"/>
      <c r="D9" s="52"/>
    </row>
    <row r="10" spans="1:4" ht="14.25" customHeight="1">
      <c r="A10" s="96" t="s">
        <v>255</v>
      </c>
      <c r="B10" s="34">
        <f>B12+B15+B16</f>
        <v>911.0849999999999</v>
      </c>
      <c r="C10" s="34">
        <f>C12+C15+C16</f>
        <v>1036.34</v>
      </c>
      <c r="D10" s="34">
        <f aca="true" t="shared" si="0" ref="D10:D17">C10-B10</f>
        <v>125.255</v>
      </c>
    </row>
    <row r="11" spans="1:4" ht="12.75">
      <c r="A11" s="33" t="s">
        <v>92</v>
      </c>
      <c r="B11" s="34"/>
      <c r="C11" s="34"/>
      <c r="D11" s="34">
        <f t="shared" si="0"/>
        <v>0</v>
      </c>
    </row>
    <row r="12" spans="1:4" ht="13.5">
      <c r="A12" s="58" t="s">
        <v>248</v>
      </c>
      <c r="B12" s="34">
        <v>635.915</v>
      </c>
      <c r="C12" s="34">
        <f>581.43+92.04</f>
        <v>673.4699999999999</v>
      </c>
      <c r="D12" s="34">
        <f t="shared" si="0"/>
        <v>37.55499999999995</v>
      </c>
    </row>
    <row r="13" spans="1:4" ht="12.75">
      <c r="A13" s="92" t="s">
        <v>51</v>
      </c>
      <c r="B13" s="304">
        <v>3</v>
      </c>
      <c r="C13" s="29">
        <v>3</v>
      </c>
      <c r="D13" s="34">
        <f t="shared" si="0"/>
        <v>0</v>
      </c>
    </row>
    <row r="14" spans="1:4" ht="12.75">
      <c r="A14" s="92" t="s">
        <v>52</v>
      </c>
      <c r="B14" s="305">
        <f>B12/3/12*1000</f>
        <v>17664.305555555555</v>
      </c>
      <c r="C14" s="305">
        <f>C12/3/12*1000</f>
        <v>18707.5</v>
      </c>
      <c r="D14" s="34">
        <f t="shared" si="0"/>
        <v>1043.1944444444453</v>
      </c>
    </row>
    <row r="15" spans="1:4" ht="13.5">
      <c r="A15" s="93" t="s">
        <v>53</v>
      </c>
      <c r="B15" s="34">
        <v>192.05</v>
      </c>
      <c r="C15" s="34">
        <v>199.27</v>
      </c>
      <c r="D15" s="34">
        <f t="shared" si="0"/>
        <v>7.219999999999999</v>
      </c>
    </row>
    <row r="16" spans="1:4" ht="13.5">
      <c r="A16" s="58" t="s">
        <v>249</v>
      </c>
      <c r="B16" s="41">
        <f>SUM(B18:B24)</f>
        <v>83.11999999999999</v>
      </c>
      <c r="C16" s="41">
        <f>SUM(C18:C24)</f>
        <v>163.6</v>
      </c>
      <c r="D16" s="34">
        <f t="shared" si="0"/>
        <v>80.48</v>
      </c>
    </row>
    <row r="17" spans="1:4" ht="12.75">
      <c r="A17" s="115" t="s">
        <v>580</v>
      </c>
      <c r="B17" s="29"/>
      <c r="C17" s="41"/>
      <c r="D17" s="34">
        <f t="shared" si="0"/>
        <v>0</v>
      </c>
    </row>
    <row r="18" spans="1:4" ht="12.75">
      <c r="A18" s="271" t="s">
        <v>597</v>
      </c>
      <c r="B18" s="29"/>
      <c r="C18" s="41">
        <v>12.04</v>
      </c>
      <c r="D18" s="34">
        <f>C18-B18</f>
        <v>12.04</v>
      </c>
    </row>
    <row r="19" spans="1:4" ht="12.75">
      <c r="A19" s="273" t="s">
        <v>601</v>
      </c>
      <c r="B19" s="29">
        <v>31.81</v>
      </c>
      <c r="C19" s="41">
        <v>31.81</v>
      </c>
      <c r="D19" s="34">
        <f aca="true" t="shared" si="1" ref="D19:D24">C19-B19</f>
        <v>0</v>
      </c>
    </row>
    <row r="20" spans="1:4" ht="12.75">
      <c r="A20" s="273" t="s">
        <v>602</v>
      </c>
      <c r="B20" s="29">
        <v>35.76</v>
      </c>
      <c r="C20" s="41">
        <f>37.32+4.8</f>
        <v>42.12</v>
      </c>
      <c r="D20" s="34">
        <f t="shared" si="1"/>
        <v>6.359999999999999</v>
      </c>
    </row>
    <row r="21" spans="1:4" ht="12.75">
      <c r="A21" s="273" t="s">
        <v>598</v>
      </c>
      <c r="B21" s="29">
        <v>15.55</v>
      </c>
      <c r="C21" s="29">
        <v>7.66</v>
      </c>
      <c r="D21" s="34">
        <f t="shared" si="1"/>
        <v>-7.890000000000001</v>
      </c>
    </row>
    <row r="22" spans="1:4" ht="12.75">
      <c r="A22" s="273" t="s">
        <v>603</v>
      </c>
      <c r="B22" s="29"/>
      <c r="C22" s="29">
        <v>0.19</v>
      </c>
      <c r="D22" s="34">
        <f t="shared" si="1"/>
        <v>0.19</v>
      </c>
    </row>
    <row r="23" spans="1:4" ht="12.75">
      <c r="A23" s="273" t="s">
        <v>604</v>
      </c>
      <c r="B23" s="29"/>
      <c r="C23" s="29">
        <v>1.62</v>
      </c>
      <c r="D23" s="34">
        <f t="shared" si="1"/>
        <v>1.62</v>
      </c>
    </row>
    <row r="24" spans="1:4" ht="12.75">
      <c r="A24" s="271" t="s">
        <v>600</v>
      </c>
      <c r="B24" s="29"/>
      <c r="C24" s="29">
        <v>68.16</v>
      </c>
      <c r="D24" s="34">
        <f t="shared" si="1"/>
        <v>68.16</v>
      </c>
    </row>
    <row r="25" spans="1:4" ht="12.75">
      <c r="A25" s="272" t="s">
        <v>599</v>
      </c>
      <c r="B25" s="29"/>
      <c r="C25" s="29"/>
      <c r="D25" s="34"/>
    </row>
    <row r="26" spans="1:4" ht="12.75">
      <c r="A26" s="38"/>
      <c r="B26" s="29"/>
      <c r="C26" s="29"/>
      <c r="D26" s="34"/>
    </row>
    <row r="27" spans="1:4" ht="13.5">
      <c r="A27" s="42"/>
      <c r="B27" s="34"/>
      <c r="C27" s="29"/>
      <c r="D27" s="34"/>
    </row>
    <row r="28" spans="1:4" ht="13.5">
      <c r="A28" s="35"/>
      <c r="B28" s="29"/>
      <c r="C28" s="29"/>
      <c r="D28" s="34"/>
    </row>
    <row r="29" spans="1:4" ht="13.5">
      <c r="A29" s="112" t="s">
        <v>73</v>
      </c>
      <c r="B29" s="29"/>
      <c r="C29" s="29"/>
      <c r="D29" s="34"/>
    </row>
    <row r="30" spans="1:4" ht="12.75">
      <c r="A30" s="44"/>
      <c r="B30" s="44"/>
      <c r="C30" s="45"/>
      <c r="D30" s="44"/>
    </row>
    <row r="31" spans="1:4" ht="12.75">
      <c r="A31" s="46" t="s">
        <v>250</v>
      </c>
      <c r="B31" s="45"/>
      <c r="C31" s="46"/>
      <c r="D31" s="44"/>
    </row>
    <row r="32" spans="1:4" ht="12.75">
      <c r="A32" s="45"/>
      <c r="B32" s="45"/>
      <c r="C32" s="45"/>
      <c r="D32" s="44"/>
    </row>
    <row r="33" spans="1:4" ht="12.75">
      <c r="A33" s="94" t="s">
        <v>251</v>
      </c>
      <c r="B33" s="303">
        <f>83.12*0.894+568.5+171.69+0.09</f>
        <v>814.58928</v>
      </c>
      <c r="C33" s="303">
        <f>C10/2</f>
        <v>518.17</v>
      </c>
      <c r="D33" s="34">
        <f>C33-B33</f>
        <v>-296.4192800000001</v>
      </c>
    </row>
    <row r="34" spans="1:4" ht="12.75">
      <c r="A34" s="94" t="s">
        <v>252</v>
      </c>
      <c r="B34" s="303">
        <v>96.5</v>
      </c>
      <c r="C34" s="303">
        <f>C10/2</f>
        <v>518.17</v>
      </c>
      <c r="D34" s="34">
        <f>C34-B34</f>
        <v>421.66999999999996</v>
      </c>
    </row>
    <row r="35" spans="1:4" ht="12.75">
      <c r="A35" s="94" t="s">
        <v>253</v>
      </c>
      <c r="B35" s="95"/>
      <c r="C35" s="94"/>
      <c r="D35" s="94"/>
    </row>
    <row r="36" ht="12.75">
      <c r="A36" s="23" t="s">
        <v>254</v>
      </c>
    </row>
    <row r="39" spans="1:3" s="398" customFormat="1" ht="16.5" customHeight="1">
      <c r="A39" s="398" t="s">
        <v>647</v>
      </c>
      <c r="C39" s="398" t="s">
        <v>648</v>
      </c>
    </row>
    <row r="40" s="398" customFormat="1" ht="15"/>
    <row r="41" s="398" customFormat="1" ht="15"/>
    <row r="42" spans="1:3" s="398" customFormat="1" ht="15">
      <c r="A42" s="398" t="s">
        <v>644</v>
      </c>
      <c r="C42" s="398" t="s">
        <v>645</v>
      </c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4">
      <selection activeCell="B8" sqref="B8:C8"/>
    </sheetView>
  </sheetViews>
  <sheetFormatPr defaultColWidth="9.140625" defaultRowHeight="15"/>
  <cols>
    <col min="1" max="1" width="36.421875" style="23" customWidth="1"/>
    <col min="2" max="2" width="19.28125" style="23" customWidth="1"/>
    <col min="3" max="3" width="16.57421875" style="23" customWidth="1"/>
    <col min="4" max="4" width="11.7109375" style="23" customWidth="1"/>
    <col min="5" max="6" width="9.7109375" style="23" customWidth="1"/>
    <col min="7" max="16384" width="9.140625" style="23" customWidth="1"/>
  </cols>
  <sheetData>
    <row r="1" ht="12.75">
      <c r="C1" s="23" t="s">
        <v>256</v>
      </c>
    </row>
    <row r="3" spans="1:5" ht="15">
      <c r="A3" s="479" t="s">
        <v>275</v>
      </c>
      <c r="B3" s="479"/>
      <c r="C3" s="479"/>
      <c r="D3" s="495"/>
      <c r="E3" s="495"/>
    </row>
    <row r="4" spans="1:3" ht="13.5" thickBot="1">
      <c r="A4" s="56"/>
      <c r="B4" s="56"/>
      <c r="C4" s="56"/>
    </row>
    <row r="5" spans="1:4" ht="12.75">
      <c r="A5" s="24" t="s">
        <v>66</v>
      </c>
      <c r="B5" s="25"/>
      <c r="C5" s="25"/>
      <c r="D5" s="25"/>
    </row>
    <row r="6" spans="1:4" ht="13.5" thickBot="1">
      <c r="A6" s="26"/>
      <c r="B6" s="88"/>
      <c r="C6" s="89" t="s">
        <v>11</v>
      </c>
      <c r="D6" s="88"/>
    </row>
    <row r="7" spans="1:4" ht="12.75">
      <c r="A7" s="27"/>
      <c r="B7" s="50"/>
      <c r="C7" s="50"/>
      <c r="D7" s="50"/>
    </row>
    <row r="8" spans="1:4" ht="12.75">
      <c r="A8" s="51" t="s">
        <v>245</v>
      </c>
      <c r="B8" s="51" t="s">
        <v>458</v>
      </c>
      <c r="C8" s="51" t="s">
        <v>459</v>
      </c>
      <c r="D8" s="51" t="s">
        <v>47</v>
      </c>
    </row>
    <row r="9" spans="1:4" ht="13.5" thickBot="1">
      <c r="A9" s="97"/>
      <c r="B9" s="52"/>
      <c r="C9" s="52"/>
      <c r="D9" s="52"/>
    </row>
    <row r="10" spans="1:4" ht="12.75">
      <c r="A10" s="96" t="s">
        <v>270</v>
      </c>
      <c r="B10" s="34"/>
      <c r="C10" s="34"/>
      <c r="D10" s="34"/>
    </row>
    <row r="11" spans="1:4" ht="12.75">
      <c r="A11" s="30" t="s">
        <v>271</v>
      </c>
      <c r="B11" s="34"/>
      <c r="C11" s="34"/>
      <c r="D11" s="34"/>
    </row>
    <row r="12" spans="1:4" ht="12.75">
      <c r="A12" s="102" t="s">
        <v>257</v>
      </c>
      <c r="B12" s="34"/>
      <c r="C12" s="34"/>
      <c r="D12" s="34"/>
    </row>
    <row r="13" spans="1:4" ht="12.75">
      <c r="A13" s="103" t="s">
        <v>271</v>
      </c>
      <c r="B13" s="37"/>
      <c r="C13" s="29"/>
      <c r="D13" s="34"/>
    </row>
    <row r="14" spans="1:4" ht="12.75">
      <c r="A14" s="105" t="s">
        <v>258</v>
      </c>
      <c r="B14" s="29"/>
      <c r="C14" s="29"/>
      <c r="D14" s="34"/>
    </row>
    <row r="15" spans="1:4" ht="12.75">
      <c r="A15" s="103" t="s">
        <v>259</v>
      </c>
      <c r="B15" s="34"/>
      <c r="C15" s="34"/>
      <c r="D15" s="34"/>
    </row>
    <row r="16" spans="1:4" ht="12.75">
      <c r="A16" s="103" t="s">
        <v>272</v>
      </c>
      <c r="B16" s="29"/>
      <c r="C16" s="41"/>
      <c r="D16" s="34"/>
    </row>
    <row r="17" spans="1:4" ht="12.75">
      <c r="A17" s="106" t="s">
        <v>273</v>
      </c>
      <c r="B17" s="29"/>
      <c r="C17" s="41"/>
      <c r="D17" s="34"/>
    </row>
    <row r="18" spans="1:4" ht="12.75">
      <c r="A18" s="105" t="s">
        <v>274</v>
      </c>
      <c r="B18" s="29"/>
      <c r="C18" s="41"/>
      <c r="D18" s="34"/>
    </row>
    <row r="19" spans="1:4" ht="12.75">
      <c r="A19" s="103" t="s">
        <v>260</v>
      </c>
      <c r="B19" s="29"/>
      <c r="C19" s="41"/>
      <c r="D19" s="34"/>
    </row>
    <row r="20" spans="1:4" ht="12.75">
      <c r="A20" s="103" t="s">
        <v>261</v>
      </c>
      <c r="B20" s="29"/>
      <c r="C20" s="29"/>
      <c r="D20" s="34"/>
    </row>
    <row r="21" spans="1:4" ht="12.75">
      <c r="A21" s="103" t="s">
        <v>262</v>
      </c>
      <c r="B21" s="29"/>
      <c r="C21" s="29"/>
      <c r="D21" s="34"/>
    </row>
    <row r="22" spans="1:4" ht="12.75">
      <c r="A22" s="103" t="s">
        <v>263</v>
      </c>
      <c r="B22" s="29"/>
      <c r="C22" s="29"/>
      <c r="D22" s="34"/>
    </row>
    <row r="23" spans="1:4" ht="12.75">
      <c r="A23" s="104" t="s">
        <v>272</v>
      </c>
      <c r="B23" s="34"/>
      <c r="C23" s="34"/>
      <c r="D23" s="34"/>
    </row>
    <row r="24" spans="1:4" ht="12.75">
      <c r="A24" s="105" t="s">
        <v>264</v>
      </c>
      <c r="B24" s="29"/>
      <c r="C24" s="29"/>
      <c r="D24" s="34"/>
    </row>
    <row r="25" spans="1:4" ht="12.75">
      <c r="A25" s="105" t="s">
        <v>265</v>
      </c>
      <c r="B25" s="29"/>
      <c r="C25" s="29"/>
      <c r="D25" s="34"/>
    </row>
    <row r="26" spans="1:4" ht="12.75">
      <c r="A26" s="105" t="s">
        <v>266</v>
      </c>
      <c r="B26" s="34"/>
      <c r="C26" s="29"/>
      <c r="D26" s="34"/>
    </row>
    <row r="27" spans="1:4" ht="12.75">
      <c r="A27" s="105" t="s">
        <v>267</v>
      </c>
      <c r="B27" s="29"/>
      <c r="C27" s="29"/>
      <c r="D27" s="34"/>
    </row>
    <row r="28" spans="1:4" s="100" customFormat="1" ht="25.5">
      <c r="A28" s="107" t="s">
        <v>268</v>
      </c>
      <c r="B28" s="98"/>
      <c r="C28" s="98"/>
      <c r="D28" s="99"/>
    </row>
    <row r="29" spans="1:4" ht="25.5">
      <c r="A29" s="107" t="s">
        <v>269</v>
      </c>
      <c r="B29" s="95"/>
      <c r="C29" s="101"/>
      <c r="D29" s="95"/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W24"/>
  <sheetViews>
    <sheetView zoomScale="80" zoomScaleNormal="80" zoomScalePageLayoutView="0" workbookViewId="0" topLeftCell="A4">
      <pane xSplit="1" ySplit="8" topLeftCell="C12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A22" sqref="A22:IV24"/>
    </sheetView>
  </sheetViews>
  <sheetFormatPr defaultColWidth="13.8515625" defaultRowHeight="15"/>
  <cols>
    <col min="1" max="1" width="39.7109375" style="178" customWidth="1"/>
    <col min="2" max="16384" width="13.8515625" style="178" customWidth="1"/>
  </cols>
  <sheetData>
    <row r="2" ht="18.75">
      <c r="K2" s="178" t="s">
        <v>280</v>
      </c>
    </row>
    <row r="3" spans="1:12" ht="18.75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186"/>
    </row>
    <row r="4" spans="1:13" ht="18.75">
      <c r="A4" s="506" t="s">
        <v>99</v>
      </c>
      <c r="B4" s="506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</row>
    <row r="5" spans="1:13" ht="18.75">
      <c r="A5" s="187"/>
      <c r="B5" s="187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188" t="s">
        <v>596</v>
      </c>
      <c r="B6" s="188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1:12" ht="18.75">
      <c r="K7" s="189"/>
      <c r="L7" s="189"/>
    </row>
    <row r="8" spans="9:15" ht="19.5" thickBot="1">
      <c r="I8" s="189"/>
      <c r="J8" s="189"/>
      <c r="N8" s="189" t="s">
        <v>11</v>
      </c>
      <c r="O8" s="189"/>
    </row>
    <row r="9" spans="1:23" ht="19.5" thickBot="1">
      <c r="A9" s="190"/>
      <c r="B9" s="508" t="s">
        <v>284</v>
      </c>
      <c r="C9" s="509"/>
      <c r="D9" s="509"/>
      <c r="E9" s="509"/>
      <c r="F9" s="510"/>
      <c r="G9" s="508" t="s">
        <v>457</v>
      </c>
      <c r="H9" s="509"/>
      <c r="I9" s="509"/>
      <c r="J9" s="509"/>
      <c r="K9" s="510"/>
      <c r="L9" s="508" t="s">
        <v>581</v>
      </c>
      <c r="M9" s="509"/>
      <c r="N9" s="509"/>
      <c r="O9" s="509"/>
      <c r="P9" s="510"/>
      <c r="Q9" s="191"/>
      <c r="R9" s="507"/>
      <c r="S9" s="507"/>
      <c r="T9" s="507"/>
      <c r="U9" s="507"/>
      <c r="V9" s="507"/>
      <c r="W9" s="507"/>
    </row>
    <row r="10" spans="1:16" ht="18.75">
      <c r="A10" s="192" t="s">
        <v>42</v>
      </c>
      <c r="B10" s="192" t="s">
        <v>4</v>
      </c>
      <c r="C10" s="193" t="s">
        <v>239</v>
      </c>
      <c r="D10" s="194" t="s">
        <v>241</v>
      </c>
      <c r="E10" s="194" t="s">
        <v>242</v>
      </c>
      <c r="F10" s="194" t="s">
        <v>408</v>
      </c>
      <c r="G10" s="192" t="s">
        <v>4</v>
      </c>
      <c r="H10" s="195" t="s">
        <v>239</v>
      </c>
      <c r="I10" s="196" t="s">
        <v>241</v>
      </c>
      <c r="J10" s="196" t="s">
        <v>242</v>
      </c>
      <c r="K10" s="194" t="s">
        <v>408</v>
      </c>
      <c r="L10" s="192" t="s">
        <v>4</v>
      </c>
      <c r="M10" s="195" t="s">
        <v>239</v>
      </c>
      <c r="N10" s="196" t="s">
        <v>241</v>
      </c>
      <c r="O10" s="196" t="s">
        <v>242</v>
      </c>
      <c r="P10" s="196" t="s">
        <v>408</v>
      </c>
    </row>
    <row r="11" spans="1:16" ht="19.5" thickBot="1">
      <c r="A11" s="197"/>
      <c r="B11" s="197"/>
      <c r="C11" s="197" t="s">
        <v>240</v>
      </c>
      <c r="D11" s="198" t="s">
        <v>240</v>
      </c>
      <c r="E11" s="198" t="s">
        <v>243</v>
      </c>
      <c r="F11" s="198" t="s">
        <v>409</v>
      </c>
      <c r="G11" s="198"/>
      <c r="H11" s="197" t="s">
        <v>240</v>
      </c>
      <c r="I11" s="198" t="s">
        <v>240</v>
      </c>
      <c r="J11" s="198" t="s">
        <v>243</v>
      </c>
      <c r="K11" s="198" t="s">
        <v>409</v>
      </c>
      <c r="L11" s="198"/>
      <c r="M11" s="197" t="s">
        <v>240</v>
      </c>
      <c r="N11" s="198" t="s">
        <v>240</v>
      </c>
      <c r="O11" s="198" t="s">
        <v>243</v>
      </c>
      <c r="P11" s="198" t="s">
        <v>409</v>
      </c>
    </row>
    <row r="12" spans="1:16" ht="37.5">
      <c r="A12" s="199" t="s">
        <v>105</v>
      </c>
      <c r="B12" s="301">
        <f>B14+B15+B16</f>
        <v>273.82</v>
      </c>
      <c r="C12" s="301">
        <f aca="true" t="shared" si="0" ref="C12:P12">C14+C15+C16</f>
        <v>242.48</v>
      </c>
      <c r="D12" s="301">
        <f t="shared" si="0"/>
        <v>6.7700000000000005</v>
      </c>
      <c r="E12" s="301">
        <f t="shared" si="0"/>
        <v>0</v>
      </c>
      <c r="F12" s="301">
        <f t="shared" si="0"/>
        <v>24.57</v>
      </c>
      <c r="G12" s="301">
        <f t="shared" si="0"/>
        <v>643.62</v>
      </c>
      <c r="H12" s="301">
        <f t="shared" si="0"/>
        <v>628.4</v>
      </c>
      <c r="I12" s="301">
        <f t="shared" si="0"/>
        <v>3.3699999999999997</v>
      </c>
      <c r="J12" s="301">
        <f t="shared" si="0"/>
        <v>0</v>
      </c>
      <c r="K12" s="301">
        <f t="shared" si="0"/>
        <v>11.85</v>
      </c>
      <c r="L12" s="301">
        <f t="shared" si="0"/>
        <v>398.19</v>
      </c>
      <c r="M12" s="301">
        <f t="shared" si="0"/>
        <v>367</v>
      </c>
      <c r="N12" s="301">
        <f t="shared" si="0"/>
        <v>14.25</v>
      </c>
      <c r="O12" s="301">
        <f t="shared" si="0"/>
        <v>0</v>
      </c>
      <c r="P12" s="301">
        <f t="shared" si="0"/>
        <v>16.94</v>
      </c>
    </row>
    <row r="13" spans="1:16" ht="18.75">
      <c r="A13" s="200" t="s">
        <v>41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 ht="18.75">
      <c r="A14" s="201" t="s">
        <v>100</v>
      </c>
      <c r="B14" s="302">
        <f>SUM(C14:F14)</f>
        <v>0</v>
      </c>
      <c r="C14" s="200"/>
      <c r="D14" s="200"/>
      <c r="E14" s="200"/>
      <c r="F14" s="200"/>
      <c r="G14" s="302">
        <f>SUM(H14:K14)</f>
        <v>0</v>
      </c>
      <c r="H14" s="200"/>
      <c r="I14" s="200"/>
      <c r="J14" s="200"/>
      <c r="K14" s="200"/>
      <c r="L14" s="302">
        <f>SUM(M14:P14)</f>
        <v>0</v>
      </c>
      <c r="M14" s="200"/>
      <c r="N14" s="200"/>
      <c r="O14" s="200"/>
      <c r="P14" s="200"/>
    </row>
    <row r="15" spans="1:16" ht="18.75">
      <c r="A15" s="201" t="s">
        <v>101</v>
      </c>
      <c r="B15" s="302">
        <f>SUM(C15:F15)</f>
        <v>0.07</v>
      </c>
      <c r="C15" s="200"/>
      <c r="D15" s="200">
        <v>0.07</v>
      </c>
      <c r="E15" s="200"/>
      <c r="F15" s="200"/>
      <c r="G15" s="302">
        <f>SUM(H15:K15)</f>
        <v>336.04</v>
      </c>
      <c r="H15" s="200">
        <v>330.71</v>
      </c>
      <c r="I15" s="200">
        <f>0.11</f>
        <v>0.11</v>
      </c>
      <c r="J15" s="200"/>
      <c r="K15" s="200">
        <v>5.22</v>
      </c>
      <c r="L15" s="302">
        <f>SUM(M15:P15)</f>
        <v>163.14000000000001</v>
      </c>
      <c r="M15" s="200">
        <v>151.86</v>
      </c>
      <c r="N15" s="200">
        <v>8.59</v>
      </c>
      <c r="O15" s="200"/>
      <c r="P15" s="200">
        <v>2.69</v>
      </c>
    </row>
    <row r="16" spans="1:16" ht="18.75">
      <c r="A16" s="200" t="s">
        <v>102</v>
      </c>
      <c r="B16" s="302">
        <v>273.75</v>
      </c>
      <c r="C16" s="200">
        <f>153.85+88.63</f>
        <v>242.48</v>
      </c>
      <c r="D16" s="200">
        <f>3.93+0.29+0.11+2.37</f>
        <v>6.7</v>
      </c>
      <c r="E16" s="200"/>
      <c r="F16" s="200">
        <v>24.57</v>
      </c>
      <c r="G16" s="302">
        <f>SUM(H16:K16)</f>
        <v>307.58</v>
      </c>
      <c r="H16" s="200">
        <f>219.69+78</f>
        <v>297.69</v>
      </c>
      <c r="I16" s="200">
        <f>0.38+0.36+2.52</f>
        <v>3.26</v>
      </c>
      <c r="J16" s="200"/>
      <c r="K16" s="200">
        <v>6.63</v>
      </c>
      <c r="L16" s="302">
        <f>SUM(M16:P16)</f>
        <v>235.04999999999998</v>
      </c>
      <c r="M16" s="200">
        <v>215.14</v>
      </c>
      <c r="N16" s="200">
        <f>0.38+0.11+5.17</f>
        <v>5.66</v>
      </c>
      <c r="O16" s="200"/>
      <c r="P16" s="200">
        <v>14.25</v>
      </c>
    </row>
    <row r="17" spans="1:16" ht="18.75">
      <c r="A17" s="200" t="s">
        <v>103</v>
      </c>
      <c r="B17" s="302">
        <f>SUM(C17:F17)</f>
        <v>304.99</v>
      </c>
      <c r="C17" s="200"/>
      <c r="D17" s="200">
        <v>304.99</v>
      </c>
      <c r="E17" s="200"/>
      <c r="F17" s="200"/>
      <c r="G17" s="302">
        <f>SUM(H17:K17)</f>
        <v>308.7</v>
      </c>
      <c r="H17" s="200"/>
      <c r="I17" s="200">
        <v>308.7</v>
      </c>
      <c r="J17" s="200"/>
      <c r="K17" s="200"/>
      <c r="L17" s="302">
        <f>SUM(M17:P17)</f>
        <v>395.74</v>
      </c>
      <c r="M17" s="200"/>
      <c r="N17" s="200">
        <v>395.74</v>
      </c>
      <c r="O17" s="200"/>
      <c r="P17" s="200"/>
    </row>
    <row r="18" spans="1:16" ht="18.75">
      <c r="A18" s="201" t="s">
        <v>104</v>
      </c>
      <c r="B18" s="302">
        <f>D18+F18</f>
        <v>372.26</v>
      </c>
      <c r="C18" s="200"/>
      <c r="D18" s="200">
        <v>3.52</v>
      </c>
      <c r="E18" s="200"/>
      <c r="F18" s="200">
        <v>368.74</v>
      </c>
      <c r="G18" s="302">
        <f>SUM(H18:K18)</f>
        <v>52.74</v>
      </c>
      <c r="H18" s="200"/>
      <c r="I18" s="200">
        <v>4.21</v>
      </c>
      <c r="J18" s="200"/>
      <c r="K18" s="200">
        <v>48.53</v>
      </c>
      <c r="L18" s="302">
        <f>SUM(M18:P18)</f>
        <v>87.74</v>
      </c>
      <c r="M18" s="200"/>
      <c r="N18" s="200">
        <v>5.94</v>
      </c>
      <c r="O18" s="200"/>
      <c r="P18" s="200">
        <v>81.8</v>
      </c>
    </row>
    <row r="19" spans="1:16" ht="18.75">
      <c r="A19" s="202" t="s">
        <v>115</v>
      </c>
      <c r="B19" s="300">
        <f>B12+B17+B18</f>
        <v>951.0699999999999</v>
      </c>
      <c r="C19" s="300">
        <f aca="true" t="shared" si="1" ref="C19:P19">C12+C17+C18</f>
        <v>242.48</v>
      </c>
      <c r="D19" s="300">
        <f t="shared" si="1"/>
        <v>315.28</v>
      </c>
      <c r="E19" s="300">
        <f t="shared" si="1"/>
        <v>0</v>
      </c>
      <c r="F19" s="300">
        <f t="shared" si="1"/>
        <v>393.31</v>
      </c>
      <c r="G19" s="300">
        <f t="shared" si="1"/>
        <v>1005.06</v>
      </c>
      <c r="H19" s="300">
        <f t="shared" si="1"/>
        <v>628.4</v>
      </c>
      <c r="I19" s="300">
        <f t="shared" si="1"/>
        <v>316.28</v>
      </c>
      <c r="J19" s="300">
        <f t="shared" si="1"/>
        <v>0</v>
      </c>
      <c r="K19" s="300">
        <f t="shared" si="1"/>
        <v>60.38</v>
      </c>
      <c r="L19" s="300">
        <f t="shared" si="1"/>
        <v>881.6700000000001</v>
      </c>
      <c r="M19" s="300">
        <f t="shared" si="1"/>
        <v>367</v>
      </c>
      <c r="N19" s="300">
        <f t="shared" si="1"/>
        <v>415.93</v>
      </c>
      <c r="O19" s="300">
        <f t="shared" si="1"/>
        <v>0</v>
      </c>
      <c r="P19" s="300">
        <f t="shared" si="1"/>
        <v>98.74</v>
      </c>
    </row>
    <row r="22" spans="1:14" ht="30" customHeight="1">
      <c r="A22" s="407" t="s">
        <v>647</v>
      </c>
      <c r="N22" s="178" t="s">
        <v>648</v>
      </c>
    </row>
    <row r="24" spans="1:14" ht="30" customHeight="1">
      <c r="A24" s="407" t="s">
        <v>644</v>
      </c>
      <c r="N24" s="178" t="s">
        <v>645</v>
      </c>
    </row>
  </sheetData>
  <sheetProtection/>
  <mergeCells count="7">
    <mergeCell ref="A3:K3"/>
    <mergeCell ref="A4:M4"/>
    <mergeCell ref="R9:T9"/>
    <mergeCell ref="U9:W9"/>
    <mergeCell ref="B9:F9"/>
    <mergeCell ref="G9:K9"/>
    <mergeCell ref="L9:P9"/>
  </mergeCells>
  <printOptions/>
  <pageMargins left="0.11811023622047245" right="0.11811023622047245" top="0.35433070866141736" bottom="0.7480314960629921" header="0" footer="0.31496062992125984"/>
  <pageSetup horizontalDpi="600" verticalDpi="600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pane xSplit="1" ySplit="9" topLeftCell="K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1" sqref="A21:IV23"/>
    </sheetView>
  </sheetViews>
  <sheetFormatPr defaultColWidth="9.140625" defaultRowHeight="15"/>
  <cols>
    <col min="1" max="1" width="53.8515625" style="1" customWidth="1"/>
    <col min="2" max="2" width="11.57421875" style="1" customWidth="1"/>
    <col min="3" max="3" width="12.421875" style="1" customWidth="1"/>
    <col min="4" max="4" width="12.7109375" style="1" customWidth="1"/>
    <col min="5" max="5" width="11.57421875" style="1" customWidth="1"/>
    <col min="6" max="6" width="11.7109375" style="1" customWidth="1"/>
    <col min="7" max="7" width="10.8515625" style="1" customWidth="1"/>
    <col min="8" max="8" width="11.57421875" style="1" customWidth="1"/>
    <col min="9" max="9" width="11.7109375" style="1" customWidth="1"/>
    <col min="10" max="10" width="11.8515625" style="1" customWidth="1"/>
    <col min="11" max="11" width="11.28125" style="1" customWidth="1"/>
    <col min="12" max="12" width="11.00390625" style="1" customWidth="1"/>
    <col min="13" max="13" width="12.8515625" style="1" customWidth="1"/>
    <col min="14" max="14" width="11.8515625" style="1" customWidth="1"/>
    <col min="15" max="15" width="12.57421875" style="1" customWidth="1"/>
    <col min="16" max="16" width="11.7109375" style="1" customWidth="1"/>
    <col min="17" max="16384" width="9.140625" style="1" customWidth="1"/>
  </cols>
  <sheetData>
    <row r="1" ht="15">
      <c r="F1" s="1" t="s">
        <v>281</v>
      </c>
    </row>
    <row r="2" spans="1:6" ht="15">
      <c r="A2" s="495"/>
      <c r="B2" s="495"/>
      <c r="C2" s="495"/>
      <c r="D2" s="495"/>
      <c r="E2" s="495"/>
      <c r="F2" s="495"/>
    </row>
    <row r="3" spans="1:7" ht="15">
      <c r="A3" s="491" t="s">
        <v>40</v>
      </c>
      <c r="B3" s="491"/>
      <c r="C3" s="491"/>
      <c r="D3" s="491"/>
      <c r="E3" s="495"/>
      <c r="F3" s="495"/>
      <c r="G3" s="495"/>
    </row>
    <row r="4" spans="1:7" ht="15">
      <c r="A4" s="54"/>
      <c r="B4" s="54"/>
      <c r="C4" s="54"/>
      <c r="D4" s="54"/>
      <c r="E4" s="55"/>
      <c r="F4" s="55"/>
      <c r="G4" s="55"/>
    </row>
    <row r="5" spans="1:7" ht="15">
      <c r="A5" s="62" t="s">
        <v>630</v>
      </c>
      <c r="B5" s="62"/>
      <c r="C5" s="62"/>
      <c r="D5" s="62"/>
      <c r="E5" s="55"/>
      <c r="F5" s="55"/>
      <c r="G5" s="55"/>
    </row>
    <row r="6" spans="6:15" ht="15.75" thickBot="1">
      <c r="F6" s="19"/>
      <c r="I6" s="19"/>
      <c r="O6" s="19" t="s">
        <v>11</v>
      </c>
    </row>
    <row r="7" spans="1:16" ht="15.75" thickBot="1">
      <c r="A7" s="10"/>
      <c r="B7" s="511" t="s">
        <v>284</v>
      </c>
      <c r="C7" s="492"/>
      <c r="D7" s="492"/>
      <c r="E7" s="492"/>
      <c r="F7" s="494"/>
      <c r="G7" s="511" t="s">
        <v>457</v>
      </c>
      <c r="H7" s="492"/>
      <c r="I7" s="492"/>
      <c r="J7" s="492"/>
      <c r="K7" s="494"/>
      <c r="L7" s="511" t="s">
        <v>581</v>
      </c>
      <c r="M7" s="492"/>
      <c r="N7" s="492"/>
      <c r="O7" s="492"/>
      <c r="P7" s="494"/>
    </row>
    <row r="8" spans="1:16" ht="15">
      <c r="A8" s="20" t="s">
        <v>43</v>
      </c>
      <c r="B8" s="20" t="s">
        <v>4</v>
      </c>
      <c r="C8" s="6" t="s">
        <v>239</v>
      </c>
      <c r="D8" s="14" t="s">
        <v>241</v>
      </c>
      <c r="E8" s="14" t="s">
        <v>242</v>
      </c>
      <c r="F8" s="14" t="s">
        <v>408</v>
      </c>
      <c r="G8" s="20" t="s">
        <v>4</v>
      </c>
      <c r="H8" s="5" t="s">
        <v>239</v>
      </c>
      <c r="I8" s="17" t="s">
        <v>241</v>
      </c>
      <c r="J8" s="17" t="s">
        <v>242</v>
      </c>
      <c r="K8" s="14" t="s">
        <v>408</v>
      </c>
      <c r="L8" s="20" t="s">
        <v>4</v>
      </c>
      <c r="M8" s="5" t="s">
        <v>239</v>
      </c>
      <c r="N8" s="17" t="s">
        <v>241</v>
      </c>
      <c r="O8" s="17" t="s">
        <v>242</v>
      </c>
      <c r="P8" s="17" t="s">
        <v>408</v>
      </c>
    </row>
    <row r="9" spans="1:16" ht="15.75" thickBot="1">
      <c r="A9" s="7"/>
      <c r="B9" s="7"/>
      <c r="C9" s="7" t="s">
        <v>240</v>
      </c>
      <c r="D9" s="18" t="s">
        <v>240</v>
      </c>
      <c r="E9" s="18" t="s">
        <v>243</v>
      </c>
      <c r="F9" s="18" t="s">
        <v>409</v>
      </c>
      <c r="G9" s="18"/>
      <c r="H9" s="7" t="s">
        <v>240</v>
      </c>
      <c r="I9" s="18" t="s">
        <v>240</v>
      </c>
      <c r="J9" s="18" t="s">
        <v>243</v>
      </c>
      <c r="K9" s="7" t="s">
        <v>409</v>
      </c>
      <c r="L9" s="18"/>
      <c r="M9" s="7" t="s">
        <v>240</v>
      </c>
      <c r="N9" s="18" t="s">
        <v>240</v>
      </c>
      <c r="O9" s="18" t="s">
        <v>243</v>
      </c>
      <c r="P9" s="18" t="s">
        <v>409</v>
      </c>
    </row>
    <row r="10" spans="1:16" ht="15">
      <c r="A10" s="60" t="s">
        <v>410</v>
      </c>
      <c r="B10" s="295">
        <f>B11</f>
        <v>143.33</v>
      </c>
      <c r="C10" s="295">
        <f>C11</f>
        <v>68.31</v>
      </c>
      <c r="D10" s="295">
        <f>D11</f>
        <v>75.02</v>
      </c>
      <c r="E10" s="279"/>
      <c r="F10" s="279"/>
      <c r="G10" s="279">
        <f>G11</f>
        <v>130.28</v>
      </c>
      <c r="H10" s="279">
        <f>H11</f>
        <v>49.7</v>
      </c>
      <c r="I10" s="279">
        <f>I11</f>
        <v>80.58</v>
      </c>
      <c r="J10" s="279"/>
      <c r="K10" s="279"/>
      <c r="L10" s="279">
        <f>L11</f>
        <v>242.45999999999998</v>
      </c>
      <c r="M10" s="279">
        <f>M11</f>
        <v>90.8</v>
      </c>
      <c r="N10" s="279">
        <f>N11</f>
        <v>151.66</v>
      </c>
      <c r="O10" s="279"/>
      <c r="P10" s="279"/>
    </row>
    <row r="11" spans="1:16" ht="15">
      <c r="A11" s="61" t="s">
        <v>106</v>
      </c>
      <c r="B11" s="296">
        <f>5.05+138.28</f>
        <v>143.33</v>
      </c>
      <c r="C11" s="296">
        <v>68.31</v>
      </c>
      <c r="D11" s="296">
        <f>5.05+69.97</f>
        <v>75.02</v>
      </c>
      <c r="E11" s="267"/>
      <c r="F11" s="267"/>
      <c r="G11" s="370">
        <f>4.13+126.15</f>
        <v>130.28</v>
      </c>
      <c r="H11" s="370">
        <v>49.7</v>
      </c>
      <c r="I11" s="370">
        <f>4.13+76.45</f>
        <v>80.58</v>
      </c>
      <c r="J11" s="267"/>
      <c r="K11" s="267"/>
      <c r="L11" s="370">
        <f>22.7+219.76</f>
        <v>242.45999999999998</v>
      </c>
      <c r="M11" s="370">
        <v>90.8</v>
      </c>
      <c r="N11" s="370">
        <f>22.7+128.96</f>
        <v>151.66</v>
      </c>
      <c r="O11" s="267"/>
      <c r="P11" s="267"/>
    </row>
    <row r="12" spans="1:16" ht="15">
      <c r="A12" s="16" t="s">
        <v>107</v>
      </c>
      <c r="B12" s="297">
        <v>34.91</v>
      </c>
      <c r="C12" s="297">
        <v>5.71</v>
      </c>
      <c r="D12" s="297">
        <v>29.2</v>
      </c>
      <c r="E12" s="267"/>
      <c r="F12" s="267"/>
      <c r="G12" s="267">
        <v>103</v>
      </c>
      <c r="H12" s="267">
        <v>54</v>
      </c>
      <c r="I12" s="267">
        <v>49</v>
      </c>
      <c r="J12" s="267"/>
      <c r="K12" s="267"/>
      <c r="L12" s="267">
        <v>223.24</v>
      </c>
      <c r="M12" s="267">
        <v>113.57</v>
      </c>
      <c r="N12" s="267">
        <v>109.67</v>
      </c>
      <c r="O12" s="267"/>
      <c r="P12" s="267"/>
    </row>
    <row r="13" spans="1:16" ht="15.75" customHeight="1">
      <c r="A13" s="16" t="s">
        <v>108</v>
      </c>
      <c r="B13" s="297">
        <v>44.28</v>
      </c>
      <c r="C13" s="297">
        <v>21.87</v>
      </c>
      <c r="D13" s="297">
        <v>22.41</v>
      </c>
      <c r="E13" s="267"/>
      <c r="F13" s="267"/>
      <c r="G13" s="267">
        <v>359.25</v>
      </c>
      <c r="H13" s="267">
        <v>167.05</v>
      </c>
      <c r="I13" s="267">
        <v>192.2</v>
      </c>
      <c r="J13" s="267"/>
      <c r="K13" s="267"/>
      <c r="L13" s="267">
        <v>534.6</v>
      </c>
      <c r="M13" s="267">
        <v>128.3</v>
      </c>
      <c r="N13" s="267">
        <v>406.3</v>
      </c>
      <c r="O13" s="267"/>
      <c r="P13" s="267"/>
    </row>
    <row r="14" spans="1:16" ht="15">
      <c r="A14" s="16" t="s">
        <v>109</v>
      </c>
      <c r="B14" s="297"/>
      <c r="C14" s="297"/>
      <c r="D14" s="297"/>
      <c r="E14" s="267"/>
      <c r="F14" s="267"/>
      <c r="G14" s="267">
        <v>83.11</v>
      </c>
      <c r="H14" s="267">
        <f>13.55+69.56</f>
        <v>83.11</v>
      </c>
      <c r="I14" s="267"/>
      <c r="J14" s="267"/>
      <c r="K14" s="267"/>
      <c r="L14" s="267">
        <v>18.64</v>
      </c>
      <c r="M14" s="267">
        <v>18.64</v>
      </c>
      <c r="N14" s="267"/>
      <c r="O14" s="267"/>
      <c r="P14" s="267"/>
    </row>
    <row r="15" spans="1:16" ht="15">
      <c r="A15" s="16" t="s">
        <v>110</v>
      </c>
      <c r="B15" s="297"/>
      <c r="C15" s="297"/>
      <c r="D15" s="29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</row>
    <row r="16" spans="1:16" ht="15">
      <c r="A16" s="15" t="s">
        <v>111</v>
      </c>
      <c r="B16" s="298"/>
      <c r="C16" s="298"/>
      <c r="D16" s="298"/>
      <c r="E16" s="267"/>
      <c r="F16" s="267"/>
      <c r="G16" s="267">
        <v>8.97</v>
      </c>
      <c r="H16" s="267"/>
      <c r="I16" s="267">
        <v>8.97</v>
      </c>
      <c r="J16" s="267"/>
      <c r="K16" s="267"/>
      <c r="L16" s="267"/>
      <c r="M16" s="267"/>
      <c r="N16" s="267"/>
      <c r="O16" s="267"/>
      <c r="P16" s="267"/>
    </row>
    <row r="17" spans="1:16" ht="15">
      <c r="A17" s="16" t="s">
        <v>112</v>
      </c>
      <c r="B17" s="297">
        <f>13.4+5.42+2.45+(4.77+30.63+132.12)</f>
        <v>188.79000000000002</v>
      </c>
      <c r="C17" s="297">
        <f>13.4+5.42/2+82.75</f>
        <v>98.86</v>
      </c>
      <c r="D17" s="297">
        <f>5.42/2+2.45+84.77</f>
        <v>89.92999999999999</v>
      </c>
      <c r="E17" s="267"/>
      <c r="F17" s="267"/>
      <c r="G17" s="267">
        <f>17+4+5.4+14.02+(10.27+0.28+64.81+220.87+2.94+8.8+0.1)</f>
        <v>348.49000000000007</v>
      </c>
      <c r="H17" s="267">
        <f>17+4+5.4+14.02/2+8.8+124.2</f>
        <v>166.41</v>
      </c>
      <c r="I17" s="267">
        <f>14.02/2+175.07</f>
        <v>182.07999999999998</v>
      </c>
      <c r="J17" s="267"/>
      <c r="K17" s="267"/>
      <c r="L17" s="267">
        <f>17+27.99+(17.02+0.77+88.43+304.53+2.89+27.66+11.93)+180.9</f>
        <v>679.12</v>
      </c>
      <c r="M17" s="267">
        <f>17+27.99/2+27.66+180.9/2+205.73</f>
        <v>354.83500000000004</v>
      </c>
      <c r="N17" s="267">
        <f>27.99/2+180.9/2+219.84</f>
        <v>324.285</v>
      </c>
      <c r="O17" s="267"/>
      <c r="P17" s="267"/>
    </row>
    <row r="18" spans="1:16" ht="15">
      <c r="A18" s="53" t="s">
        <v>115</v>
      </c>
      <c r="B18" s="299">
        <f aca="true" t="shared" si="0" ref="B18:P18">B10+B12+B13+B14+B15+B16+B17</f>
        <v>411.31000000000006</v>
      </c>
      <c r="C18" s="299">
        <f t="shared" si="0"/>
        <v>194.75</v>
      </c>
      <c r="D18" s="299">
        <f t="shared" si="0"/>
        <v>216.56</v>
      </c>
      <c r="E18" s="299">
        <f t="shared" si="0"/>
        <v>0</v>
      </c>
      <c r="F18" s="299">
        <f t="shared" si="0"/>
        <v>0</v>
      </c>
      <c r="G18" s="299">
        <f t="shared" si="0"/>
        <v>1033.1000000000001</v>
      </c>
      <c r="H18" s="299">
        <f t="shared" si="0"/>
        <v>520.27</v>
      </c>
      <c r="I18" s="299">
        <f t="shared" si="0"/>
        <v>512.8299999999999</v>
      </c>
      <c r="J18" s="299">
        <f t="shared" si="0"/>
        <v>0</v>
      </c>
      <c r="K18" s="299">
        <f t="shared" si="0"/>
        <v>0</v>
      </c>
      <c r="L18" s="299">
        <f t="shared" si="0"/>
        <v>1698.06</v>
      </c>
      <c r="M18" s="299">
        <f t="shared" si="0"/>
        <v>706.145</v>
      </c>
      <c r="N18" s="299">
        <f t="shared" si="0"/>
        <v>991.915</v>
      </c>
      <c r="O18" s="299">
        <f t="shared" si="0"/>
        <v>0</v>
      </c>
      <c r="P18" s="299">
        <f t="shared" si="0"/>
        <v>0</v>
      </c>
    </row>
    <row r="21" spans="1:14" s="398" customFormat="1" ht="30" customHeight="1">
      <c r="A21" s="399" t="s">
        <v>647</v>
      </c>
      <c r="N21" s="398" t="s">
        <v>648</v>
      </c>
    </row>
    <row r="22" s="398" customFormat="1" ht="15"/>
    <row r="23" spans="1:14" s="398" customFormat="1" ht="30" customHeight="1">
      <c r="A23" s="399" t="s">
        <v>644</v>
      </c>
      <c r="N23" s="398" t="s">
        <v>645</v>
      </c>
    </row>
  </sheetData>
  <sheetProtection/>
  <mergeCells count="5">
    <mergeCell ref="L7:P7"/>
    <mergeCell ref="A2:F2"/>
    <mergeCell ref="A3:G3"/>
    <mergeCell ref="B7:F7"/>
    <mergeCell ref="G7:K7"/>
  </mergeCells>
  <printOptions/>
  <pageMargins left="0.1968503937007874" right="0" top="0.35433070866141736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90" zoomScaleNormal="90" zoomScalePageLayoutView="0" workbookViewId="0" topLeftCell="L1">
      <selection activeCell="W10" sqref="W10:X10"/>
    </sheetView>
  </sheetViews>
  <sheetFormatPr defaultColWidth="9.140625" defaultRowHeight="15"/>
  <cols>
    <col min="2" max="2" width="11.57421875" style="0" customWidth="1"/>
    <col min="12" max="12" width="10.7109375" style="0" customWidth="1"/>
    <col min="16" max="16" width="12.28125" style="0" customWidth="1"/>
    <col min="17" max="17" width="13.8515625" style="0" customWidth="1"/>
    <col min="18" max="18" width="12.00390625" style="0" customWidth="1"/>
    <col min="20" max="20" width="9.8515625" style="0" customWidth="1"/>
    <col min="22" max="22" width="10.8515625" style="0" customWidth="1"/>
    <col min="23" max="23" width="11.140625" style="0" customWidth="1"/>
    <col min="24" max="24" width="10.7109375" style="0" customWidth="1"/>
  </cols>
  <sheetData>
    <row r="1" ht="18" customHeight="1">
      <c r="V1" s="408" t="s">
        <v>418</v>
      </c>
    </row>
    <row r="2" spans="1:24" ht="18">
      <c r="A2" s="140" t="s">
        <v>657</v>
      </c>
      <c r="B2" s="141"/>
      <c r="C2" s="141"/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4"/>
      <c r="U2" s="142"/>
      <c r="V2" s="142"/>
      <c r="W2" s="142"/>
      <c r="X2" s="142"/>
    </row>
    <row r="3" spans="1:24" ht="18">
      <c r="A3" s="14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4"/>
      <c r="U3" s="142"/>
      <c r="V3" s="142"/>
      <c r="W3" s="142"/>
      <c r="X3" s="142"/>
    </row>
    <row r="4" spans="1:24" ht="15.75" thickBot="1">
      <c r="A4" s="457" t="s">
        <v>362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</row>
    <row r="5" spans="1:24" ht="15">
      <c r="A5" s="458" t="s">
        <v>23</v>
      </c>
      <c r="B5" s="447" t="s">
        <v>363</v>
      </c>
      <c r="C5" s="447" t="s">
        <v>364</v>
      </c>
      <c r="D5" s="447" t="s">
        <v>365</v>
      </c>
      <c r="E5" s="447" t="s">
        <v>366</v>
      </c>
      <c r="F5" s="447" t="s">
        <v>76</v>
      </c>
      <c r="G5" s="461" t="s">
        <v>367</v>
      </c>
      <c r="H5" s="447" t="s">
        <v>78</v>
      </c>
      <c r="I5" s="447" t="s">
        <v>368</v>
      </c>
      <c r="J5" s="447" t="s">
        <v>369</v>
      </c>
      <c r="K5" s="453" t="s">
        <v>370</v>
      </c>
      <c r="L5" s="454"/>
      <c r="M5" s="454"/>
      <c r="N5" s="455"/>
      <c r="O5" s="453" t="s">
        <v>371</v>
      </c>
      <c r="P5" s="454"/>
      <c r="Q5" s="455"/>
      <c r="R5" s="455"/>
      <c r="S5" s="456" t="s">
        <v>372</v>
      </c>
      <c r="T5" s="456"/>
      <c r="U5" s="456"/>
      <c r="V5" s="456"/>
      <c r="W5" s="464" t="s">
        <v>373</v>
      </c>
      <c r="X5" s="467" t="s">
        <v>374</v>
      </c>
    </row>
    <row r="6" spans="1:24" ht="15">
      <c r="A6" s="459"/>
      <c r="B6" s="448"/>
      <c r="C6" s="448"/>
      <c r="D6" s="448"/>
      <c r="E6" s="448"/>
      <c r="F6" s="448"/>
      <c r="G6" s="462"/>
      <c r="H6" s="448"/>
      <c r="I6" s="448"/>
      <c r="J6" s="448"/>
      <c r="K6" s="443" t="s">
        <v>375</v>
      </c>
      <c r="L6" s="445" t="s">
        <v>376</v>
      </c>
      <c r="M6" s="445" t="s">
        <v>377</v>
      </c>
      <c r="N6" s="445" t="s">
        <v>378</v>
      </c>
      <c r="O6" s="443" t="s">
        <v>4</v>
      </c>
      <c r="P6" s="146" t="s">
        <v>169</v>
      </c>
      <c r="Q6" s="146" t="s">
        <v>139</v>
      </c>
      <c r="R6" s="146" t="s">
        <v>318</v>
      </c>
      <c r="S6" s="449" t="s">
        <v>4</v>
      </c>
      <c r="T6" s="449" t="s">
        <v>316</v>
      </c>
      <c r="U6" s="449" t="s">
        <v>293</v>
      </c>
      <c r="V6" s="449" t="s">
        <v>294</v>
      </c>
      <c r="W6" s="465"/>
      <c r="X6" s="468"/>
    </row>
    <row r="7" spans="1:24" ht="55.5" customHeight="1">
      <c r="A7" s="460"/>
      <c r="B7" s="444"/>
      <c r="C7" s="444"/>
      <c r="D7" s="444"/>
      <c r="E7" s="444"/>
      <c r="F7" s="444"/>
      <c r="G7" s="463"/>
      <c r="H7" s="444"/>
      <c r="I7" s="444"/>
      <c r="J7" s="444"/>
      <c r="K7" s="444"/>
      <c r="L7" s="446"/>
      <c r="M7" s="446"/>
      <c r="N7" s="446"/>
      <c r="O7" s="444"/>
      <c r="P7" s="147" t="s">
        <v>66</v>
      </c>
      <c r="Q7" s="147" t="s">
        <v>66</v>
      </c>
      <c r="R7" s="147" t="s">
        <v>66</v>
      </c>
      <c r="S7" s="449"/>
      <c r="T7" s="449"/>
      <c r="U7" s="449"/>
      <c r="V7" s="449"/>
      <c r="W7" s="466"/>
      <c r="X7" s="469"/>
    </row>
    <row r="8" spans="1:24" ht="15">
      <c r="A8" s="148"/>
      <c r="B8" s="149" t="s">
        <v>379</v>
      </c>
      <c r="C8" s="149" t="s">
        <v>380</v>
      </c>
      <c r="D8" s="149" t="s">
        <v>169</v>
      </c>
      <c r="E8" s="149" t="s">
        <v>139</v>
      </c>
      <c r="F8" s="149" t="s">
        <v>318</v>
      </c>
      <c r="G8" s="149" t="s">
        <v>381</v>
      </c>
      <c r="H8" s="149" t="s">
        <v>325</v>
      </c>
      <c r="I8" s="149" t="s">
        <v>326</v>
      </c>
      <c r="J8" s="149" t="s">
        <v>327</v>
      </c>
      <c r="K8" s="149" t="s">
        <v>382</v>
      </c>
      <c r="L8" s="149" t="s">
        <v>383</v>
      </c>
      <c r="M8" s="149" t="s">
        <v>384</v>
      </c>
      <c r="N8" s="149" t="s">
        <v>385</v>
      </c>
      <c r="O8" s="149" t="s">
        <v>386</v>
      </c>
      <c r="P8" s="150" t="str">
        <f>"5.2.2."&amp;P6</f>
        <v>5.2.2.1</v>
      </c>
      <c r="Q8" s="150" t="str">
        <f>"5.2.2."&amp;Q6</f>
        <v>5.2.2.2</v>
      </c>
      <c r="R8" s="150" t="str">
        <f>"5.2.2."&amp;R6</f>
        <v>5.2.2.3</v>
      </c>
      <c r="S8" s="151" t="s">
        <v>329</v>
      </c>
      <c r="T8" s="151" t="s">
        <v>330</v>
      </c>
      <c r="U8" s="151" t="s">
        <v>331</v>
      </c>
      <c r="V8" s="151" t="s">
        <v>332</v>
      </c>
      <c r="W8" s="150" t="s">
        <v>387</v>
      </c>
      <c r="X8" s="152" t="s">
        <v>388</v>
      </c>
    </row>
    <row r="9" spans="1:24" ht="15">
      <c r="A9" s="153" t="s">
        <v>169</v>
      </c>
      <c r="B9" s="450" t="s">
        <v>66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2"/>
    </row>
    <row r="10" spans="1:24" ht="45">
      <c r="A10" s="153" t="s">
        <v>389</v>
      </c>
      <c r="B10" s="154" t="s">
        <v>168</v>
      </c>
      <c r="C10" s="155" t="s">
        <v>390</v>
      </c>
      <c r="D10" s="156">
        <f>H10+E10-F10</f>
        <v>82484.43000000002</v>
      </c>
      <c r="E10" s="157"/>
      <c r="F10" s="157"/>
      <c r="G10" s="157"/>
      <c r="H10" s="158">
        <f>J10+I10</f>
        <v>82484.43000000002</v>
      </c>
      <c r="I10" s="157"/>
      <c r="J10" s="158">
        <f aca="true" t="shared" si="0" ref="J10:J22">K10+O10+S10</f>
        <v>82484.43000000002</v>
      </c>
      <c r="K10" s="158">
        <f>SUM(L10:N10)</f>
        <v>580.3000000000001</v>
      </c>
      <c r="L10" s="158">
        <f>SUM(L11:L22)</f>
        <v>0</v>
      </c>
      <c r="M10" s="158">
        <f>SUM(M11:M22)</f>
        <v>0</v>
      </c>
      <c r="N10" s="158">
        <f>SUM(N11:N22)</f>
        <v>580.3000000000001</v>
      </c>
      <c r="O10" s="158">
        <f aca="true" t="shared" si="1" ref="O10:O22">SUM(P10:R10)</f>
        <v>0</v>
      </c>
      <c r="P10" s="159">
        <f>SUM(P11:P22)</f>
        <v>0</v>
      </c>
      <c r="Q10" s="159">
        <f>SUM(Q11:Q22)</f>
        <v>0</v>
      </c>
      <c r="R10" s="159">
        <f>SUM(R11:R22)</f>
        <v>0</v>
      </c>
      <c r="S10" s="158">
        <f>SUM(T10:V10)</f>
        <v>81904.13000000002</v>
      </c>
      <c r="T10" s="158">
        <f>SUM(T11:T22)</f>
        <v>4063.629999999999</v>
      </c>
      <c r="U10" s="158">
        <f>SUM(U11:U22)</f>
        <v>77102.87000000001</v>
      </c>
      <c r="V10" s="158">
        <f>SUM(V11:V22)</f>
        <v>737.63</v>
      </c>
      <c r="W10" s="158">
        <f>SUM(W11:W22)</f>
        <v>18231.969999999998</v>
      </c>
      <c r="X10" s="160">
        <f>SUM(X11:X22)</f>
        <v>64252.45999999999</v>
      </c>
    </row>
    <row r="11" spans="1:24" ht="15">
      <c r="A11" s="153" t="s">
        <v>137</v>
      </c>
      <c r="B11" s="154" t="s">
        <v>333</v>
      </c>
      <c r="C11" s="155"/>
      <c r="D11" s="161"/>
      <c r="E11" s="161"/>
      <c r="F11" s="161"/>
      <c r="G11" s="161"/>
      <c r="H11" s="161"/>
      <c r="I11" s="161"/>
      <c r="J11" s="158">
        <f t="shared" si="0"/>
        <v>4173.95</v>
      </c>
      <c r="K11" s="158">
        <f aca="true" t="shared" si="2" ref="K11:K22">SUM(L11:N11)</f>
        <v>100</v>
      </c>
      <c r="L11" s="157"/>
      <c r="M11" s="157"/>
      <c r="N11" s="157">
        <f>200*0.5</f>
        <v>100</v>
      </c>
      <c r="O11" s="158">
        <f t="shared" si="1"/>
        <v>0</v>
      </c>
      <c r="P11" s="162"/>
      <c r="Q11" s="162"/>
      <c r="R11" s="162"/>
      <c r="S11" s="158">
        <f aca="true" t="shared" si="3" ref="S11:S22">SUM(T11:V11)</f>
        <v>4073.95</v>
      </c>
      <c r="T11" s="162">
        <f>130+35+38+25.93+64.84+18.65+45.7+1.4+11.62+1.6+9</f>
        <v>381.73999999999995</v>
      </c>
      <c r="U11" s="162">
        <f>3809.41-207+30</f>
        <v>3632.41</v>
      </c>
      <c r="V11" s="162">
        <f>0.3+15+6.5+10+7.5+7.5+8+5</f>
        <v>59.8</v>
      </c>
      <c r="W11" s="162">
        <f>481.01+130+35+38+9</f>
        <v>693.01</v>
      </c>
      <c r="X11" s="163">
        <f>J11-W11</f>
        <v>3480.9399999999996</v>
      </c>
    </row>
    <row r="12" spans="1:24" ht="15">
      <c r="A12" s="153" t="s">
        <v>138</v>
      </c>
      <c r="B12" s="154" t="s">
        <v>334</v>
      </c>
      <c r="C12" s="155"/>
      <c r="D12" s="161"/>
      <c r="E12" s="161"/>
      <c r="F12" s="161"/>
      <c r="G12" s="161"/>
      <c r="H12" s="161"/>
      <c r="I12" s="161"/>
      <c r="J12" s="158">
        <f t="shared" si="0"/>
        <v>4024.98</v>
      </c>
      <c r="K12" s="158">
        <f t="shared" si="2"/>
        <v>106.95</v>
      </c>
      <c r="L12" s="157"/>
      <c r="M12" s="157"/>
      <c r="N12" s="157">
        <f>213.9*0.5</f>
        <v>106.95</v>
      </c>
      <c r="O12" s="158">
        <f t="shared" si="1"/>
        <v>0</v>
      </c>
      <c r="P12" s="162"/>
      <c r="Q12" s="162"/>
      <c r="R12" s="162"/>
      <c r="S12" s="158">
        <f t="shared" si="3"/>
        <v>3918.03</v>
      </c>
      <c r="T12" s="162">
        <f>46+30+70+25.93+64.84+18.65+45.7+1.4+11.62+1.5+9</f>
        <v>324.64</v>
      </c>
      <c r="U12" s="162">
        <f>3860.54-206.95-120</f>
        <v>3533.59</v>
      </c>
      <c r="V12" s="162">
        <f>0.3+15+6.5+10+7.5+7.5+8+5</f>
        <v>59.8</v>
      </c>
      <c r="W12" s="162">
        <f>717.68+46+30+70+9</f>
        <v>872.68</v>
      </c>
      <c r="X12" s="163">
        <f aca="true" t="shared" si="4" ref="X12:X22">J12-W12</f>
        <v>3152.3</v>
      </c>
    </row>
    <row r="13" spans="1:24" ht="15">
      <c r="A13" s="153" t="s">
        <v>298</v>
      </c>
      <c r="B13" s="154" t="s">
        <v>335</v>
      </c>
      <c r="C13" s="155"/>
      <c r="D13" s="161"/>
      <c r="E13" s="161"/>
      <c r="F13" s="161"/>
      <c r="G13" s="161"/>
      <c r="H13" s="161"/>
      <c r="I13" s="161"/>
      <c r="J13" s="158">
        <f t="shared" si="0"/>
        <v>4050.51</v>
      </c>
      <c r="K13" s="158">
        <f t="shared" si="2"/>
        <v>84.15</v>
      </c>
      <c r="L13" s="157"/>
      <c r="M13" s="157"/>
      <c r="N13" s="157">
        <f>168.3*0.5</f>
        <v>84.15</v>
      </c>
      <c r="O13" s="158">
        <f t="shared" si="1"/>
        <v>0</v>
      </c>
      <c r="P13" s="162"/>
      <c r="Q13" s="162"/>
      <c r="R13" s="162"/>
      <c r="S13" s="158">
        <f t="shared" si="3"/>
        <v>3966.36</v>
      </c>
      <c r="T13" s="162">
        <f>94+30+48.24+25.93+64.84+18.65+45.7+1.4+11.62+1.6+9</f>
        <v>350.97999999999996</v>
      </c>
      <c r="U13" s="162">
        <f>3673.63-184.15+66</f>
        <v>3555.48</v>
      </c>
      <c r="V13" s="162">
        <f>0.4+15+6.5+10+7.5+7.5+8+5</f>
        <v>59.9</v>
      </c>
      <c r="W13" s="162">
        <f>672.69+94+30+48.24+9+1</f>
        <v>854.9300000000001</v>
      </c>
      <c r="X13" s="163">
        <f t="shared" si="4"/>
        <v>3195.58</v>
      </c>
    </row>
    <row r="14" spans="1:24" ht="15">
      <c r="A14" s="153" t="s">
        <v>391</v>
      </c>
      <c r="B14" s="154" t="s">
        <v>337</v>
      </c>
      <c r="C14" s="155"/>
      <c r="D14" s="161"/>
      <c r="E14" s="161"/>
      <c r="F14" s="161"/>
      <c r="G14" s="161"/>
      <c r="H14" s="161"/>
      <c r="I14" s="161"/>
      <c r="J14" s="158">
        <f t="shared" si="0"/>
        <v>4944.370000000001</v>
      </c>
      <c r="K14" s="158">
        <f t="shared" si="2"/>
        <v>63.8</v>
      </c>
      <c r="L14" s="157"/>
      <c r="M14" s="157"/>
      <c r="N14" s="157">
        <f>127.6*0.5</f>
        <v>63.8</v>
      </c>
      <c r="O14" s="158">
        <f t="shared" si="1"/>
        <v>0</v>
      </c>
      <c r="P14" s="162"/>
      <c r="Q14" s="162"/>
      <c r="R14" s="162"/>
      <c r="S14" s="158">
        <f t="shared" si="3"/>
        <v>4880.570000000001</v>
      </c>
      <c r="T14" s="162">
        <f>82+13+45+25.93+64.84+18.65+45.7+0.37+11.62+1.6+3.6</f>
        <v>312.31000000000006</v>
      </c>
      <c r="U14" s="162">
        <f>4576.06-63.8-11</f>
        <v>4501.26</v>
      </c>
      <c r="V14" s="162">
        <f>10+15+6.5+7.5*3+8+5</f>
        <v>67</v>
      </c>
      <c r="W14" s="162">
        <f>1395.67+82+13+45+3.6+12</f>
        <v>1551.27</v>
      </c>
      <c r="X14" s="163">
        <f t="shared" si="4"/>
        <v>3393.100000000001</v>
      </c>
    </row>
    <row r="15" spans="1:24" ht="15">
      <c r="A15" s="153" t="s">
        <v>392</v>
      </c>
      <c r="B15" s="154" t="s">
        <v>338</v>
      </c>
      <c r="C15" s="155"/>
      <c r="D15" s="161"/>
      <c r="E15" s="161"/>
      <c r="F15" s="161"/>
      <c r="G15" s="161"/>
      <c r="H15" s="161"/>
      <c r="I15" s="161"/>
      <c r="J15" s="158">
        <f t="shared" si="0"/>
        <v>4450.88</v>
      </c>
      <c r="K15" s="158">
        <f t="shared" si="2"/>
        <v>25.7</v>
      </c>
      <c r="L15" s="157"/>
      <c r="M15" s="157"/>
      <c r="N15" s="157">
        <f>51.4*0.5</f>
        <v>25.7</v>
      </c>
      <c r="O15" s="158">
        <f t="shared" si="1"/>
        <v>0</v>
      </c>
      <c r="P15" s="162"/>
      <c r="Q15" s="162"/>
      <c r="R15" s="162"/>
      <c r="S15" s="158">
        <f t="shared" si="3"/>
        <v>4425.18</v>
      </c>
      <c r="T15" s="162">
        <f>93+23+51+25.93+64.84+18.65+45.7+0.37+11.62+1.5+3.7</f>
        <v>339.30999999999995</v>
      </c>
      <c r="U15" s="162">
        <f>4062.57-25.7-19</f>
        <v>4017.8700000000003</v>
      </c>
      <c r="V15" s="162">
        <f>10+15+6.5+7.5*3+8+6</f>
        <v>68</v>
      </c>
      <c r="W15" s="162">
        <f>1118.89+93+23+51+3.7+12</f>
        <v>1301.5900000000001</v>
      </c>
      <c r="X15" s="163">
        <f t="shared" si="4"/>
        <v>3149.29</v>
      </c>
    </row>
    <row r="16" spans="1:24" ht="15">
      <c r="A16" s="153" t="s">
        <v>393</v>
      </c>
      <c r="B16" s="154" t="s">
        <v>339</v>
      </c>
      <c r="C16" s="155"/>
      <c r="D16" s="161"/>
      <c r="E16" s="161"/>
      <c r="F16" s="161"/>
      <c r="G16" s="161"/>
      <c r="H16" s="161"/>
      <c r="I16" s="161"/>
      <c r="J16" s="158">
        <f t="shared" si="0"/>
        <v>12062.74</v>
      </c>
      <c r="K16" s="158">
        <f t="shared" si="2"/>
        <v>0</v>
      </c>
      <c r="L16" s="157"/>
      <c r="M16" s="157"/>
      <c r="N16" s="157"/>
      <c r="O16" s="158">
        <f t="shared" si="1"/>
        <v>0</v>
      </c>
      <c r="P16" s="162"/>
      <c r="Q16" s="162"/>
      <c r="R16" s="162"/>
      <c r="S16" s="158">
        <f t="shared" si="3"/>
        <v>12062.74</v>
      </c>
      <c r="T16" s="162">
        <f>76+59+49+25.93+64.84+18.65+45.7+0.37+11.62+1.6+3.7</f>
        <v>356.40999999999997</v>
      </c>
      <c r="U16" s="162">
        <v>11638.33</v>
      </c>
      <c r="V16" s="162">
        <f>16+15+6.5+7.5*3+8</f>
        <v>68</v>
      </c>
      <c r="W16" s="162">
        <f>2085.19+76+59+49+3.7+12</f>
        <v>2284.89</v>
      </c>
      <c r="X16" s="163">
        <f t="shared" si="4"/>
        <v>9777.85</v>
      </c>
    </row>
    <row r="17" spans="1:24" ht="15">
      <c r="A17" s="153" t="s">
        <v>394</v>
      </c>
      <c r="B17" s="154" t="s">
        <v>342</v>
      </c>
      <c r="C17" s="155"/>
      <c r="D17" s="161"/>
      <c r="E17" s="161"/>
      <c r="F17" s="161"/>
      <c r="G17" s="161"/>
      <c r="H17" s="161"/>
      <c r="I17" s="161"/>
      <c r="J17" s="158">
        <f t="shared" si="0"/>
        <v>11987.18</v>
      </c>
      <c r="K17" s="158">
        <f t="shared" si="2"/>
        <v>0</v>
      </c>
      <c r="L17" s="157"/>
      <c r="M17" s="157"/>
      <c r="N17" s="157"/>
      <c r="O17" s="158">
        <f t="shared" si="1"/>
        <v>0</v>
      </c>
      <c r="P17" s="162"/>
      <c r="Q17" s="162"/>
      <c r="R17" s="162"/>
      <c r="S17" s="158">
        <f t="shared" si="3"/>
        <v>11987.18</v>
      </c>
      <c r="T17" s="162">
        <f>88+55+33+25.93+64.84+18.65+45.7+11.62+1.4+1.7</f>
        <v>345.8399999999999</v>
      </c>
      <c r="U17" s="162">
        <v>11565.61</v>
      </c>
      <c r="V17" s="162">
        <f>6+15+6.5+7.5+33.23+7.5</f>
        <v>75.72999999999999</v>
      </c>
      <c r="W17" s="162">
        <f>2308.64+88+55+33+1.7+6</f>
        <v>2492.3399999999997</v>
      </c>
      <c r="X17" s="163">
        <f t="shared" si="4"/>
        <v>9494.84</v>
      </c>
    </row>
    <row r="18" spans="1:24" ht="15">
      <c r="A18" s="153" t="s">
        <v>395</v>
      </c>
      <c r="B18" s="154" t="s">
        <v>343</v>
      </c>
      <c r="C18" s="155"/>
      <c r="D18" s="161"/>
      <c r="E18" s="161"/>
      <c r="F18" s="161"/>
      <c r="G18" s="161"/>
      <c r="H18" s="161"/>
      <c r="I18" s="161"/>
      <c r="J18" s="158">
        <f t="shared" si="0"/>
        <v>12295.369999999999</v>
      </c>
      <c r="K18" s="158">
        <f t="shared" si="2"/>
        <v>0</v>
      </c>
      <c r="L18" s="157"/>
      <c r="M18" s="157"/>
      <c r="N18" s="157"/>
      <c r="O18" s="158">
        <f t="shared" si="1"/>
        <v>0</v>
      </c>
      <c r="P18" s="162"/>
      <c r="Q18" s="162"/>
      <c r="R18" s="162"/>
      <c r="S18" s="158">
        <f t="shared" si="3"/>
        <v>12295.369999999999</v>
      </c>
      <c r="T18" s="162">
        <f>64+20+26+25.93+64.84+18.65+45.7+11.62+1.4+1.7</f>
        <v>279.84</v>
      </c>
      <c r="U18" s="162">
        <f>11885.8+54</f>
        <v>11939.8</v>
      </c>
      <c r="V18" s="162">
        <f>6+15+6.5+7.5+33.23+7.5</f>
        <v>75.72999999999999</v>
      </c>
      <c r="W18" s="162">
        <f>2711.48+64+20+26+1.7+6</f>
        <v>2829.18</v>
      </c>
      <c r="X18" s="163">
        <f t="shared" si="4"/>
        <v>9466.189999999999</v>
      </c>
    </row>
    <row r="19" spans="1:24" ht="15">
      <c r="A19" s="153" t="s">
        <v>396</v>
      </c>
      <c r="B19" s="154" t="s">
        <v>344</v>
      </c>
      <c r="C19" s="155"/>
      <c r="D19" s="161"/>
      <c r="E19" s="161"/>
      <c r="F19" s="161"/>
      <c r="G19" s="161"/>
      <c r="H19" s="161"/>
      <c r="I19" s="161"/>
      <c r="J19" s="158">
        <f t="shared" si="0"/>
        <v>11646.54</v>
      </c>
      <c r="K19" s="158">
        <f t="shared" si="2"/>
        <v>15.8</v>
      </c>
      <c r="L19" s="157"/>
      <c r="M19" s="157"/>
      <c r="N19" s="157">
        <f>31.6*0.5</f>
        <v>15.8</v>
      </c>
      <c r="O19" s="158">
        <f t="shared" si="1"/>
        <v>0</v>
      </c>
      <c r="P19" s="162"/>
      <c r="Q19" s="162"/>
      <c r="R19" s="162"/>
      <c r="S19" s="158">
        <f t="shared" si="3"/>
        <v>11630.740000000002</v>
      </c>
      <c r="T19" s="162">
        <f>72+76+44+25.93+64.84+18.65+45.7+11.62+1.4+1.6</f>
        <v>361.73999999999995</v>
      </c>
      <c r="U19" s="162">
        <f>11209.1-15.8</f>
        <v>11193.300000000001</v>
      </c>
      <c r="V19" s="162">
        <f>6+15+6.5+7.5+33.2+7.5</f>
        <v>75.7</v>
      </c>
      <c r="W19" s="162">
        <f>1143.34+72+76+44+1.6+6</f>
        <v>1342.9399999999998</v>
      </c>
      <c r="X19" s="163">
        <f t="shared" si="4"/>
        <v>10303.6</v>
      </c>
    </row>
    <row r="20" spans="1:24" ht="15">
      <c r="A20" s="153" t="s">
        <v>397</v>
      </c>
      <c r="B20" s="154" t="s">
        <v>347</v>
      </c>
      <c r="C20" s="155"/>
      <c r="D20" s="161"/>
      <c r="E20" s="161"/>
      <c r="F20" s="161"/>
      <c r="G20" s="161"/>
      <c r="H20" s="161"/>
      <c r="I20" s="161"/>
      <c r="J20" s="158">
        <f t="shared" si="0"/>
        <v>4004.5899999999997</v>
      </c>
      <c r="K20" s="158">
        <f t="shared" si="2"/>
        <v>31.3</v>
      </c>
      <c r="L20" s="157"/>
      <c r="M20" s="157"/>
      <c r="N20" s="157">
        <f>62.6*0.5</f>
        <v>31.3</v>
      </c>
      <c r="O20" s="158">
        <f t="shared" si="1"/>
        <v>0</v>
      </c>
      <c r="P20" s="162"/>
      <c r="Q20" s="162"/>
      <c r="R20" s="162"/>
      <c r="S20" s="158">
        <f t="shared" si="3"/>
        <v>3973.2899999999995</v>
      </c>
      <c r="T20" s="162">
        <f>57+33+75+25.93+64.84+18.65+45.7+11.62+0.3+1</f>
        <v>333.04</v>
      </c>
      <c r="U20" s="162">
        <f>3628.89-31.3</f>
        <v>3597.5899999999997</v>
      </c>
      <c r="V20" s="162">
        <f>3.67+15+6.5+7.5+2.49+7.5</f>
        <v>42.660000000000004</v>
      </c>
      <c r="W20" s="162">
        <f>1115.4+57+33+75+1+4</f>
        <v>1285.4</v>
      </c>
      <c r="X20" s="163">
        <f t="shared" si="4"/>
        <v>2719.1899999999996</v>
      </c>
    </row>
    <row r="21" spans="1:24" ht="15">
      <c r="A21" s="153" t="s">
        <v>398</v>
      </c>
      <c r="B21" s="154" t="s">
        <v>348</v>
      </c>
      <c r="C21" s="155"/>
      <c r="D21" s="161"/>
      <c r="E21" s="161"/>
      <c r="F21" s="161"/>
      <c r="G21" s="161"/>
      <c r="H21" s="161"/>
      <c r="I21" s="161"/>
      <c r="J21" s="158">
        <f t="shared" si="0"/>
        <v>4154.52</v>
      </c>
      <c r="K21" s="158">
        <f t="shared" si="2"/>
        <v>74.5</v>
      </c>
      <c r="L21" s="157"/>
      <c r="M21" s="157"/>
      <c r="N21" s="157">
        <f>149*0.5</f>
        <v>74.5</v>
      </c>
      <c r="O21" s="158">
        <f t="shared" si="1"/>
        <v>0</v>
      </c>
      <c r="P21" s="162"/>
      <c r="Q21" s="162"/>
      <c r="R21" s="162"/>
      <c r="S21" s="158">
        <f t="shared" si="3"/>
        <v>4080.02</v>
      </c>
      <c r="T21" s="162">
        <f>90+62+43+25.93+64.84+18.65+45.7+11.62+0.3+1</f>
        <v>363.03999999999996</v>
      </c>
      <c r="U21" s="162">
        <f>3748.83-74.5</f>
        <v>3674.33</v>
      </c>
      <c r="V21" s="162">
        <f>3.66+15+6.5+7.5+2.49+7.5</f>
        <v>42.65</v>
      </c>
      <c r="W21" s="162">
        <f>1122.64+90+62+43+1+3</f>
        <v>1321.64</v>
      </c>
      <c r="X21" s="163">
        <f t="shared" si="4"/>
        <v>2832.88</v>
      </c>
    </row>
    <row r="22" spans="1:24" ht="15.75" thickBot="1">
      <c r="A22" s="164" t="s">
        <v>399</v>
      </c>
      <c r="B22" s="165" t="s">
        <v>349</v>
      </c>
      <c r="C22" s="166"/>
      <c r="D22" s="167"/>
      <c r="E22" s="167"/>
      <c r="F22" s="167"/>
      <c r="G22" s="167"/>
      <c r="H22" s="167"/>
      <c r="I22" s="167"/>
      <c r="J22" s="168">
        <f t="shared" si="0"/>
        <v>4688.799999999999</v>
      </c>
      <c r="K22" s="168">
        <f t="shared" si="2"/>
        <v>78.1</v>
      </c>
      <c r="L22" s="169"/>
      <c r="M22" s="169"/>
      <c r="N22" s="169">
        <f>156.2*0.5</f>
        <v>78.1</v>
      </c>
      <c r="O22" s="168">
        <f t="shared" si="1"/>
        <v>0</v>
      </c>
      <c r="P22" s="170"/>
      <c r="Q22" s="170"/>
      <c r="R22" s="170"/>
      <c r="S22" s="168">
        <f t="shared" si="3"/>
        <v>4610.699999999999</v>
      </c>
      <c r="T22" s="170">
        <f>67+43+37+25.93+64.84+18.65+45.3+11.62+0.4+1</f>
        <v>314.74</v>
      </c>
      <c r="U22" s="170">
        <f>4331.4-78.1</f>
        <v>4253.299999999999</v>
      </c>
      <c r="V22" s="170">
        <f>3.67+15+6.5+7.5+2.49+7.5</f>
        <v>42.660000000000004</v>
      </c>
      <c r="W22" s="170">
        <f>1250.1+67+43+37+1+4</f>
        <v>1402.1</v>
      </c>
      <c r="X22" s="171">
        <f t="shared" si="4"/>
        <v>3286.6999999999994</v>
      </c>
    </row>
    <row r="26" spans="1:20" s="403" customFormat="1" ht="27" customHeight="1">
      <c r="A26" s="401"/>
      <c r="B26" s="401" t="s">
        <v>647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2" t="s">
        <v>648</v>
      </c>
      <c r="R26" s="401"/>
      <c r="S26" s="401"/>
      <c r="T26" s="401"/>
    </row>
    <row r="27" spans="1:20" s="405" customFormat="1" ht="15">
      <c r="A27" s="404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</row>
    <row r="28" spans="1:20" s="406" customFormat="1" ht="28.5" customHeight="1">
      <c r="A28" s="401"/>
      <c r="B28" s="402" t="s">
        <v>644</v>
      </c>
      <c r="C28" s="401"/>
      <c r="D28" s="401"/>
      <c r="E28" s="401"/>
      <c r="F28" s="401"/>
      <c r="G28" s="401"/>
      <c r="H28" s="401"/>
      <c r="I28" s="401"/>
      <c r="J28" s="401"/>
      <c r="K28" s="401"/>
      <c r="M28" s="401"/>
      <c r="N28" s="401"/>
      <c r="O28" s="401"/>
      <c r="P28" s="401"/>
      <c r="Q28" s="402" t="s">
        <v>645</v>
      </c>
      <c r="R28" s="401"/>
      <c r="S28" s="401"/>
      <c r="T28" s="401"/>
    </row>
  </sheetData>
  <sheetProtection/>
  <mergeCells count="26">
    <mergeCell ref="A4:X4"/>
    <mergeCell ref="A5:A7"/>
    <mergeCell ref="B5:B7"/>
    <mergeCell ref="C5:C7"/>
    <mergeCell ref="D5:D7"/>
    <mergeCell ref="E5:E7"/>
    <mergeCell ref="F5:F7"/>
    <mergeCell ref="G5:G7"/>
    <mergeCell ref="W5:W7"/>
    <mergeCell ref="X5:X7"/>
    <mergeCell ref="M6:M7"/>
    <mergeCell ref="N6:N7"/>
    <mergeCell ref="O6:O7"/>
    <mergeCell ref="S6:S7"/>
    <mergeCell ref="T6:T7"/>
    <mergeCell ref="U6:U7"/>
    <mergeCell ref="K6:K7"/>
    <mergeCell ref="L6:L7"/>
    <mergeCell ref="H5:H7"/>
    <mergeCell ref="I5:I7"/>
    <mergeCell ref="V6:V7"/>
    <mergeCell ref="B9:X9"/>
    <mergeCell ref="J5:J7"/>
    <mergeCell ref="K5:N5"/>
    <mergeCell ref="O5:R5"/>
    <mergeCell ref="S5:V5"/>
  </mergeCells>
  <printOptions/>
  <pageMargins left="0.11811023622047245" right="0.11811023622047245" top="0.15748031496062992" bottom="0.7480314960629921" header="0" footer="0.31496062992125984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7">
      <selection activeCell="A27" sqref="A27:IV52"/>
    </sheetView>
  </sheetViews>
  <sheetFormatPr defaultColWidth="9.140625" defaultRowHeight="15"/>
  <cols>
    <col min="1" max="1" width="27.57421875" style="1" customWidth="1"/>
    <col min="2" max="2" width="19.140625" style="1" customWidth="1"/>
    <col min="3" max="3" width="18.8515625" style="1" customWidth="1"/>
    <col min="4" max="4" width="19.140625" style="1" customWidth="1"/>
    <col min="5" max="5" width="18.8515625" style="1" customWidth="1"/>
    <col min="6" max="6" width="19.7109375" style="1" customWidth="1"/>
    <col min="7" max="7" width="18.28125" style="1" customWidth="1"/>
    <col min="8" max="8" width="19.00390625" style="1" customWidth="1"/>
    <col min="9" max="9" width="17.421875" style="1" customWidth="1"/>
    <col min="10" max="10" width="18.140625" style="1" customWidth="1"/>
    <col min="11" max="11" width="18.421875" style="1" customWidth="1"/>
    <col min="12" max="12" width="17.8515625" style="1" customWidth="1"/>
    <col min="13" max="13" width="18.8515625" style="1" customWidth="1"/>
    <col min="14" max="14" width="18.00390625" style="1" customWidth="1"/>
    <col min="15" max="15" width="17.8515625" style="1" customWidth="1"/>
    <col min="16" max="16384" width="9.140625" style="1" customWidth="1"/>
  </cols>
  <sheetData>
    <row r="1" ht="15">
      <c r="H1" s="1" t="s">
        <v>356</v>
      </c>
    </row>
    <row r="3" spans="1:8" ht="15.75">
      <c r="A3" s="490" t="s">
        <v>660</v>
      </c>
      <c r="B3" s="491"/>
      <c r="C3" s="491"/>
      <c r="D3" s="491"/>
      <c r="E3" s="491"/>
      <c r="F3" s="491"/>
      <c r="G3" s="491"/>
      <c r="H3" s="491"/>
    </row>
    <row r="4" spans="1:8" ht="15">
      <c r="A4" s="54"/>
      <c r="B4" s="54"/>
      <c r="C4" s="54"/>
      <c r="D4" s="54"/>
      <c r="E4" s="54"/>
      <c r="F4" s="54"/>
      <c r="G4" s="54"/>
      <c r="H4" s="54"/>
    </row>
    <row r="5" spans="1:4" ht="15.75">
      <c r="A5" s="62" t="s">
        <v>594</v>
      </c>
      <c r="B5" s="55"/>
      <c r="C5" s="55"/>
      <c r="D5" s="55"/>
    </row>
    <row r="6" ht="18.75" customHeight="1" thickBot="1">
      <c r="A6" s="269"/>
    </row>
    <row r="7" spans="1:15" ht="18" customHeight="1" thickBot="1">
      <c r="A7" s="5" t="s">
        <v>67</v>
      </c>
      <c r="B7" s="519" t="s">
        <v>585</v>
      </c>
      <c r="C7" s="520"/>
      <c r="D7" s="520"/>
      <c r="E7" s="520"/>
      <c r="F7" s="520"/>
      <c r="G7" s="521"/>
      <c r="H7" s="519" t="s">
        <v>584</v>
      </c>
      <c r="I7" s="520"/>
      <c r="J7" s="520"/>
      <c r="K7" s="520"/>
      <c r="L7" s="520"/>
      <c r="M7" s="521"/>
      <c r="N7" s="522" t="s">
        <v>586</v>
      </c>
      <c r="O7" s="523"/>
    </row>
    <row r="8" spans="1:15" ht="49.5" customHeight="1" thickBot="1">
      <c r="A8" s="6" t="s">
        <v>68</v>
      </c>
      <c r="B8" s="516" t="s">
        <v>411</v>
      </c>
      <c r="C8" s="517"/>
      <c r="D8" s="511" t="s">
        <v>288</v>
      </c>
      <c r="E8" s="518"/>
      <c r="F8" s="511" t="s">
        <v>286</v>
      </c>
      <c r="G8" s="518"/>
      <c r="H8" s="516" t="s">
        <v>411</v>
      </c>
      <c r="I8" s="517"/>
      <c r="J8" s="511" t="s">
        <v>289</v>
      </c>
      <c r="K8" s="518"/>
      <c r="L8" s="511" t="s">
        <v>286</v>
      </c>
      <c r="M8" s="518"/>
      <c r="N8" s="512" t="s">
        <v>37</v>
      </c>
      <c r="O8" s="513"/>
    </row>
    <row r="9" spans="1:15" ht="19.5" customHeight="1" thickBot="1">
      <c r="A9" s="7"/>
      <c r="B9" s="204" t="s">
        <v>582</v>
      </c>
      <c r="C9" s="48" t="s">
        <v>583</v>
      </c>
      <c r="D9" s="204" t="s">
        <v>582</v>
      </c>
      <c r="E9" s="48" t="s">
        <v>583</v>
      </c>
      <c r="F9" s="204" t="s">
        <v>582</v>
      </c>
      <c r="G9" s="48" t="s">
        <v>583</v>
      </c>
      <c r="H9" s="204" t="s">
        <v>582</v>
      </c>
      <c r="I9" s="48" t="s">
        <v>583</v>
      </c>
      <c r="J9" s="204" t="s">
        <v>582</v>
      </c>
      <c r="K9" s="48" t="s">
        <v>583</v>
      </c>
      <c r="L9" s="204" t="s">
        <v>582</v>
      </c>
      <c r="M9" s="48" t="s">
        <v>583</v>
      </c>
      <c r="N9" s="204" t="s">
        <v>582</v>
      </c>
      <c r="O9" s="48" t="s">
        <v>583</v>
      </c>
    </row>
    <row r="10" spans="1:15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>
      <c r="A11" s="8" t="s">
        <v>69</v>
      </c>
      <c r="B11" s="8"/>
      <c r="C11" s="8"/>
      <c r="D11" s="8"/>
      <c r="E11" s="8"/>
      <c r="F11" s="8">
        <f>D11*B11</f>
        <v>0</v>
      </c>
      <c r="G11" s="8">
        <f>E11*C11</f>
        <v>0</v>
      </c>
      <c r="H11" s="8"/>
      <c r="I11" s="8"/>
      <c r="J11" s="8"/>
      <c r="K11" s="8"/>
      <c r="L11" s="8">
        <f>J11*H11</f>
        <v>0</v>
      </c>
      <c r="M11" s="8">
        <f>K11*I11</f>
        <v>0</v>
      </c>
      <c r="N11" s="8"/>
      <c r="O11" s="8"/>
    </row>
    <row r="12" spans="1:15" ht="15">
      <c r="A12" s="8" t="s">
        <v>70</v>
      </c>
      <c r="B12" s="267">
        <f>B13+B14+B15</f>
        <v>0.7106</v>
      </c>
      <c r="C12" s="267">
        <f>C13+C14+C15</f>
        <v>0.5076</v>
      </c>
      <c r="D12" s="8">
        <v>2724.12</v>
      </c>
      <c r="E12" s="8">
        <v>2886.91</v>
      </c>
      <c r="F12" s="267">
        <f>F13+F14+F15</f>
        <v>1935.759672</v>
      </c>
      <c r="G12" s="267">
        <f>G13+G14+G15</f>
        <v>1465.395516</v>
      </c>
      <c r="H12" s="267">
        <f>H13+H14+H15</f>
        <v>0.583897</v>
      </c>
      <c r="I12" s="267">
        <f>I13+I14+I15</f>
        <v>0.345962</v>
      </c>
      <c r="J12" s="8">
        <v>2724.12</v>
      </c>
      <c r="K12" s="8">
        <v>2886.91</v>
      </c>
      <c r="L12" s="267">
        <f>L13+L14+L15</f>
        <v>1590.6054956399998</v>
      </c>
      <c r="M12" s="267">
        <f>M13+M14+M15</f>
        <v>998.7611574199999</v>
      </c>
      <c r="N12" s="267">
        <f>N13+N14+N15</f>
        <v>2141</v>
      </c>
      <c r="O12" s="267">
        <f>O13+O14+O15</f>
        <v>643.77</v>
      </c>
    </row>
    <row r="13" spans="1:15" ht="15">
      <c r="A13" s="49" t="s">
        <v>20</v>
      </c>
      <c r="B13" s="267"/>
      <c r="C13" s="267"/>
      <c r="D13" s="8"/>
      <c r="E13" s="8"/>
      <c r="F13" s="267">
        <f aca="true" t="shared" si="0" ref="F13:G16">D13*B13</f>
        <v>0</v>
      </c>
      <c r="G13" s="267">
        <f t="shared" si="0"/>
        <v>0</v>
      </c>
      <c r="H13" s="267"/>
      <c r="I13" s="267"/>
      <c r="J13" s="8"/>
      <c r="K13" s="8"/>
      <c r="L13" s="267">
        <f aca="true" t="shared" si="1" ref="L13:M16">J13*H13</f>
        <v>0</v>
      </c>
      <c r="M13" s="267">
        <f t="shared" si="1"/>
        <v>0</v>
      </c>
      <c r="N13" s="267"/>
      <c r="O13" s="267"/>
    </row>
    <row r="14" spans="1:15" ht="15">
      <c r="A14" s="49" t="s">
        <v>21</v>
      </c>
      <c r="B14" s="267">
        <f>238.9/1000</f>
        <v>0.2389</v>
      </c>
      <c r="C14" s="267">
        <f>161.8/1000</f>
        <v>0.1618</v>
      </c>
      <c r="D14" s="8">
        <v>2724.12</v>
      </c>
      <c r="E14" s="8">
        <v>2886.91</v>
      </c>
      <c r="F14" s="267">
        <f t="shared" si="0"/>
        <v>650.7922679999999</v>
      </c>
      <c r="G14" s="267">
        <f t="shared" si="0"/>
        <v>467.102038</v>
      </c>
      <c r="H14" s="267">
        <f>127.166/1000</f>
        <v>0.127166</v>
      </c>
      <c r="I14" s="267">
        <f>(3.853+71.979)/1000</f>
        <v>0.075832</v>
      </c>
      <c r="J14" s="8">
        <v>2724.12</v>
      </c>
      <c r="K14" s="8">
        <v>2886.91</v>
      </c>
      <c r="L14" s="267">
        <f t="shared" si="1"/>
        <v>346.41544392</v>
      </c>
      <c r="M14" s="267">
        <f t="shared" si="1"/>
        <v>218.92015911999997</v>
      </c>
      <c r="N14" s="267">
        <v>665.11</v>
      </c>
      <c r="O14" s="267">
        <v>79.07</v>
      </c>
    </row>
    <row r="15" spans="1:15" ht="15">
      <c r="A15" s="8" t="s">
        <v>22</v>
      </c>
      <c r="B15" s="267">
        <f>471.7/1000</f>
        <v>0.4717</v>
      </c>
      <c r="C15" s="267">
        <f>345.8/1000</f>
        <v>0.3458</v>
      </c>
      <c r="D15" s="8">
        <v>2724.12</v>
      </c>
      <c r="E15" s="8">
        <v>2886.91</v>
      </c>
      <c r="F15" s="267">
        <f t="shared" si="0"/>
        <v>1284.967404</v>
      </c>
      <c r="G15" s="267">
        <f t="shared" si="0"/>
        <v>998.2934779999999</v>
      </c>
      <c r="H15" s="267">
        <f>(302.039+154.692)/1000</f>
        <v>0.456731</v>
      </c>
      <c r="I15" s="267">
        <f>(12.196+6.593+160.816+90.525)/1000</f>
        <v>0.27013</v>
      </c>
      <c r="J15" s="8">
        <v>2724.12</v>
      </c>
      <c r="K15" s="8">
        <v>2886.91</v>
      </c>
      <c r="L15" s="267">
        <f t="shared" si="1"/>
        <v>1244.19005172</v>
      </c>
      <c r="M15" s="267">
        <f t="shared" si="1"/>
        <v>779.8409982999999</v>
      </c>
      <c r="N15" s="267">
        <f>1475.38+0.51</f>
        <v>1475.89</v>
      </c>
      <c r="O15" s="267">
        <v>564.7</v>
      </c>
    </row>
    <row r="16" spans="1:15" ht="15">
      <c r="A16" s="49" t="s">
        <v>114</v>
      </c>
      <c r="B16" s="267"/>
      <c r="C16" s="267"/>
      <c r="D16" s="8"/>
      <c r="E16" s="8"/>
      <c r="F16" s="267">
        <f t="shared" si="0"/>
        <v>0</v>
      </c>
      <c r="G16" s="267">
        <f t="shared" si="0"/>
        <v>0</v>
      </c>
      <c r="H16" s="267"/>
      <c r="I16" s="267"/>
      <c r="J16" s="8"/>
      <c r="K16" s="8"/>
      <c r="L16" s="267">
        <f t="shared" si="1"/>
        <v>0</v>
      </c>
      <c r="M16" s="267">
        <f t="shared" si="1"/>
        <v>0</v>
      </c>
      <c r="N16" s="267"/>
      <c r="O16" s="267"/>
    </row>
    <row r="17" spans="1:15" ht="15">
      <c r="A17" s="49" t="s">
        <v>285</v>
      </c>
      <c r="B17" s="267"/>
      <c r="C17" s="267"/>
      <c r="D17" s="8"/>
      <c r="E17" s="8"/>
      <c r="F17" s="267"/>
      <c r="G17" s="267"/>
      <c r="H17" s="267"/>
      <c r="I17" s="267"/>
      <c r="J17" s="8"/>
      <c r="K17" s="8"/>
      <c r="L17" s="267"/>
      <c r="M17" s="267"/>
      <c r="N17" s="267"/>
      <c r="O17" s="267"/>
    </row>
    <row r="18" spans="1:15" s="72" customFormat="1" ht="14.25">
      <c r="A18" s="110" t="s">
        <v>73</v>
      </c>
      <c r="B18" s="268">
        <f>B11+B12+B16</f>
        <v>0.7106</v>
      </c>
      <c r="C18" s="268">
        <f>C11+C12+C16</f>
        <v>0.5076</v>
      </c>
      <c r="D18" s="110"/>
      <c r="E18" s="110"/>
      <c r="F18" s="268">
        <f>F11+F12+F16</f>
        <v>1935.759672</v>
      </c>
      <c r="G18" s="268">
        <f>G11+G12+G16</f>
        <v>1465.395516</v>
      </c>
      <c r="H18" s="268">
        <f>H11+H12+H16</f>
        <v>0.583897</v>
      </c>
      <c r="I18" s="268">
        <f>I11+I12+I16</f>
        <v>0.345962</v>
      </c>
      <c r="J18" s="110"/>
      <c r="K18" s="110"/>
      <c r="L18" s="268">
        <f>L11+L12+L16</f>
        <v>1590.6054956399998</v>
      </c>
      <c r="M18" s="268">
        <f>M11+M12+M16</f>
        <v>998.7611574199999</v>
      </c>
      <c r="N18" s="268">
        <f>N11+N12+N16</f>
        <v>2141</v>
      </c>
      <c r="O18" s="268">
        <f>O11+O12+O16</f>
        <v>643.77</v>
      </c>
    </row>
    <row r="19" spans="1:15" s="72" customFormat="1" ht="15">
      <c r="A19" s="53" t="s">
        <v>287</v>
      </c>
      <c r="B19" s="514">
        <f>B18+C18</f>
        <v>1.2182</v>
      </c>
      <c r="C19" s="515"/>
      <c r="D19" s="53"/>
      <c r="E19" s="53"/>
      <c r="F19" s="514">
        <f>F18+G18</f>
        <v>3401.1551879999997</v>
      </c>
      <c r="G19" s="515"/>
      <c r="H19" s="514">
        <f>H18+I18</f>
        <v>0.929859</v>
      </c>
      <c r="I19" s="515"/>
      <c r="J19" s="53"/>
      <c r="K19" s="53"/>
      <c r="L19" s="514">
        <f>L18+M18</f>
        <v>2589.36665306</v>
      </c>
      <c r="M19" s="515"/>
      <c r="N19" s="514">
        <f>N18+O18</f>
        <v>2784.77</v>
      </c>
      <c r="O19" s="515"/>
    </row>
    <row r="21" ht="15" hidden="1">
      <c r="A21" s="1" t="s">
        <v>290</v>
      </c>
    </row>
    <row r="23" spans="1:14" s="398" customFormat="1" ht="30" customHeight="1">
      <c r="A23" s="399" t="s">
        <v>647</v>
      </c>
      <c r="N23" s="398" t="s">
        <v>648</v>
      </c>
    </row>
    <row r="24" s="398" customFormat="1" ht="15"/>
    <row r="25" spans="1:14" s="398" customFormat="1" ht="30" customHeight="1">
      <c r="A25" s="399" t="s">
        <v>644</v>
      </c>
      <c r="N25" s="398" t="s">
        <v>645</v>
      </c>
    </row>
  </sheetData>
  <sheetProtection/>
  <mergeCells count="16">
    <mergeCell ref="A3:H3"/>
    <mergeCell ref="B7:G7"/>
    <mergeCell ref="H7:M7"/>
    <mergeCell ref="N7:O7"/>
    <mergeCell ref="L19:M19"/>
    <mergeCell ref="N19:O19"/>
    <mergeCell ref="H19:I19"/>
    <mergeCell ref="N8:O8"/>
    <mergeCell ref="B19:C19"/>
    <mergeCell ref="B8:C8"/>
    <mergeCell ref="D8:E8"/>
    <mergeCell ref="F8:G8"/>
    <mergeCell ref="H8:I8"/>
    <mergeCell ref="J8:K8"/>
    <mergeCell ref="F19:G19"/>
    <mergeCell ref="L8:M8"/>
  </mergeCells>
  <printOptions horizontalCentered="1"/>
  <pageMargins left="0.11811023622047245" right="0" top="0.35433070866141736" bottom="0.7480314960629921" header="0" footer="0.31496062992125984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26"/>
    </sheetView>
  </sheetViews>
  <sheetFormatPr defaultColWidth="9.140625" defaultRowHeight="15"/>
  <cols>
    <col min="1" max="1" width="27.57421875" style="1" customWidth="1"/>
    <col min="2" max="2" width="19.140625" style="1" customWidth="1"/>
    <col min="3" max="3" width="18.8515625" style="1" customWidth="1"/>
    <col min="4" max="4" width="19.140625" style="1" customWidth="1"/>
    <col min="5" max="5" width="18.8515625" style="1" customWidth="1"/>
    <col min="6" max="6" width="19.7109375" style="1" customWidth="1"/>
    <col min="7" max="7" width="18.28125" style="1" customWidth="1"/>
    <col min="8" max="8" width="19.00390625" style="1" customWidth="1"/>
    <col min="9" max="9" width="17.421875" style="1" customWidth="1"/>
    <col min="10" max="10" width="18.140625" style="1" customWidth="1"/>
    <col min="11" max="11" width="18.421875" style="1" customWidth="1"/>
    <col min="12" max="12" width="17.8515625" style="1" customWidth="1"/>
    <col min="13" max="13" width="18.8515625" style="1" customWidth="1"/>
    <col min="14" max="14" width="18.00390625" style="1" customWidth="1"/>
    <col min="15" max="15" width="17.8515625" style="1" customWidth="1"/>
    <col min="16" max="16384" width="9.140625" style="1" customWidth="1"/>
  </cols>
  <sheetData>
    <row r="1" ht="15">
      <c r="H1" s="1" t="s">
        <v>356</v>
      </c>
    </row>
    <row r="5" spans="1:8" ht="15.75">
      <c r="A5" s="490" t="s">
        <v>659</v>
      </c>
      <c r="B5" s="491"/>
      <c r="C5" s="491"/>
      <c r="D5" s="491"/>
      <c r="E5" s="491"/>
      <c r="F5" s="491"/>
      <c r="G5" s="491"/>
      <c r="H5" s="491"/>
    </row>
    <row r="6" spans="1:8" ht="15">
      <c r="A6" s="54"/>
      <c r="B6" s="54"/>
      <c r="C6" s="54"/>
      <c r="D6" s="54"/>
      <c r="E6" s="54"/>
      <c r="F6" s="54"/>
      <c r="G6" s="54"/>
      <c r="H6" s="54"/>
    </row>
    <row r="7" spans="1:4" ht="15.75">
      <c r="A7" s="62" t="s">
        <v>594</v>
      </c>
      <c r="B7" s="421"/>
      <c r="C7" s="421"/>
      <c r="D7" s="421"/>
    </row>
    <row r="8" ht="21.75" customHeight="1" thickBot="1">
      <c r="A8" s="270"/>
    </row>
    <row r="9" spans="1:15" ht="18" customHeight="1" thickBot="1">
      <c r="A9" s="5" t="s">
        <v>67</v>
      </c>
      <c r="B9" s="519" t="s">
        <v>585</v>
      </c>
      <c r="C9" s="520"/>
      <c r="D9" s="520"/>
      <c r="E9" s="520"/>
      <c r="F9" s="520"/>
      <c r="G9" s="521"/>
      <c r="H9" s="519" t="s">
        <v>584</v>
      </c>
      <c r="I9" s="520"/>
      <c r="J9" s="520"/>
      <c r="K9" s="520"/>
      <c r="L9" s="520"/>
      <c r="M9" s="521"/>
      <c r="N9" s="522" t="s">
        <v>586</v>
      </c>
      <c r="O9" s="523"/>
    </row>
    <row r="10" spans="1:15" ht="49.5" customHeight="1" thickBot="1">
      <c r="A10" s="6" t="s">
        <v>68</v>
      </c>
      <c r="B10" s="516" t="s">
        <v>411</v>
      </c>
      <c r="C10" s="517"/>
      <c r="D10" s="511" t="s">
        <v>288</v>
      </c>
      <c r="E10" s="518"/>
      <c r="F10" s="511" t="s">
        <v>286</v>
      </c>
      <c r="G10" s="518"/>
      <c r="H10" s="516" t="s">
        <v>411</v>
      </c>
      <c r="I10" s="517"/>
      <c r="J10" s="511" t="s">
        <v>289</v>
      </c>
      <c r="K10" s="518"/>
      <c r="L10" s="511" t="s">
        <v>286</v>
      </c>
      <c r="M10" s="518"/>
      <c r="N10" s="512" t="s">
        <v>37</v>
      </c>
      <c r="O10" s="513"/>
    </row>
    <row r="11" spans="1:15" ht="19.5" customHeight="1" thickBot="1">
      <c r="A11" s="7"/>
      <c r="B11" s="204" t="s">
        <v>582</v>
      </c>
      <c r="C11" s="48" t="s">
        <v>583</v>
      </c>
      <c r="D11" s="204" t="s">
        <v>582</v>
      </c>
      <c r="E11" s="48" t="s">
        <v>583</v>
      </c>
      <c r="F11" s="204" t="s">
        <v>582</v>
      </c>
      <c r="G11" s="48" t="s">
        <v>583</v>
      </c>
      <c r="H11" s="204" t="s">
        <v>582</v>
      </c>
      <c r="I11" s="48" t="s">
        <v>583</v>
      </c>
      <c r="J11" s="204" t="s">
        <v>582</v>
      </c>
      <c r="K11" s="48" t="s">
        <v>583</v>
      </c>
      <c r="L11" s="204" t="s">
        <v>582</v>
      </c>
      <c r="M11" s="48" t="s">
        <v>583</v>
      </c>
      <c r="N11" s="204" t="s">
        <v>582</v>
      </c>
      <c r="O11" s="48" t="s">
        <v>583</v>
      </c>
    </row>
    <row r="12" spans="1:15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">
      <c r="A13" s="8" t="s">
        <v>69</v>
      </c>
      <c r="B13" s="8">
        <v>59.57</v>
      </c>
      <c r="C13" s="8">
        <v>59.57</v>
      </c>
      <c r="D13" s="8">
        <v>18.52</v>
      </c>
      <c r="E13" s="8">
        <v>19.54</v>
      </c>
      <c r="F13" s="267">
        <f>D13*B13</f>
        <v>1103.2364</v>
      </c>
      <c r="G13" s="267">
        <f>E13*C13</f>
        <v>1163.9977999999999</v>
      </c>
      <c r="H13" s="8">
        <v>30.89</v>
      </c>
      <c r="I13" s="8">
        <v>46.22</v>
      </c>
      <c r="J13" s="8">
        <v>18.52</v>
      </c>
      <c r="K13" s="8">
        <v>19.54</v>
      </c>
      <c r="L13" s="267">
        <v>585.61</v>
      </c>
      <c r="M13" s="267">
        <v>907.28</v>
      </c>
      <c r="N13" s="8">
        <v>482.62</v>
      </c>
      <c r="O13" s="8">
        <v>824.63</v>
      </c>
    </row>
    <row r="14" spans="1:15" ht="15">
      <c r="A14" s="8" t="s">
        <v>70</v>
      </c>
      <c r="B14" s="267">
        <f>B15+B16+B17</f>
        <v>2.27</v>
      </c>
      <c r="C14" s="267">
        <f>C15+C16+C17</f>
        <v>2.27</v>
      </c>
      <c r="D14" s="8">
        <v>18.52</v>
      </c>
      <c r="E14" s="8">
        <v>19.54</v>
      </c>
      <c r="F14" s="267">
        <f>F15+F16+F17</f>
        <v>42.0404</v>
      </c>
      <c r="G14" s="267">
        <f>G15+G16+G17</f>
        <v>44.355799999999995</v>
      </c>
      <c r="H14" s="267">
        <f>H15+H16+H17</f>
        <v>2.0653900000000003</v>
      </c>
      <c r="I14" s="267">
        <f>I15+I16+I17</f>
        <v>1.998</v>
      </c>
      <c r="J14" s="8">
        <v>18.52</v>
      </c>
      <c r="K14" s="8">
        <v>19.54</v>
      </c>
      <c r="L14" s="267">
        <f>L15+L16+L17</f>
        <v>38.25102280000001</v>
      </c>
      <c r="M14" s="267">
        <f>M15+M16+M17</f>
        <v>39.04092</v>
      </c>
      <c r="N14" s="8">
        <f>N15+N16+N17</f>
        <v>28.229999999999997</v>
      </c>
      <c r="O14" s="8">
        <f>O15+O16+O17</f>
        <v>39.550000000000004</v>
      </c>
    </row>
    <row r="15" spans="1:15" ht="15">
      <c r="A15" s="49" t="s">
        <v>20</v>
      </c>
      <c r="B15" s="267"/>
      <c r="C15" s="267"/>
      <c r="D15" s="8"/>
      <c r="E15" s="8"/>
      <c r="F15" s="267">
        <f aca="true" t="shared" si="0" ref="F15:G18">D15*B15</f>
        <v>0</v>
      </c>
      <c r="G15" s="267">
        <f t="shared" si="0"/>
        <v>0</v>
      </c>
      <c r="H15" s="267"/>
      <c r="I15" s="267"/>
      <c r="J15" s="8"/>
      <c r="K15" s="8"/>
      <c r="L15" s="267">
        <f aca="true" t="shared" si="1" ref="L15:M17">J15*H15</f>
        <v>0</v>
      </c>
      <c r="M15" s="267">
        <f t="shared" si="1"/>
        <v>0</v>
      </c>
      <c r="N15" s="8"/>
      <c r="O15" s="8"/>
    </row>
    <row r="16" spans="1:15" ht="15">
      <c r="A16" s="49" t="s">
        <v>21</v>
      </c>
      <c r="B16" s="267">
        <v>0.6</v>
      </c>
      <c r="C16" s="267">
        <v>0.6</v>
      </c>
      <c r="D16" s="8">
        <v>18.52</v>
      </c>
      <c r="E16" s="8">
        <v>19.54</v>
      </c>
      <c r="F16" s="267">
        <f t="shared" si="0"/>
        <v>11.112</v>
      </c>
      <c r="G16" s="267">
        <f t="shared" si="0"/>
        <v>11.723999999999998</v>
      </c>
      <c r="H16" s="267">
        <f>0.521+0.038</f>
        <v>0.559</v>
      </c>
      <c r="I16" s="267">
        <f>0.224+0.214+0.005+0.003</f>
        <v>0.446</v>
      </c>
      <c r="J16" s="8">
        <v>18.52</v>
      </c>
      <c r="K16" s="8">
        <v>19.54</v>
      </c>
      <c r="L16" s="267">
        <f t="shared" si="1"/>
        <v>10.352680000000001</v>
      </c>
      <c r="M16" s="267">
        <f t="shared" si="1"/>
        <v>8.71484</v>
      </c>
      <c r="N16" s="8">
        <f>4.83+0.57</f>
        <v>5.4</v>
      </c>
      <c r="O16" s="8">
        <f>4.82+0.36</f>
        <v>5.180000000000001</v>
      </c>
    </row>
    <row r="17" spans="1:15" ht="15">
      <c r="A17" s="8" t="s">
        <v>22</v>
      </c>
      <c r="B17" s="267">
        <v>1.67</v>
      </c>
      <c r="C17" s="267">
        <v>1.67</v>
      </c>
      <c r="D17" s="8">
        <v>18.52</v>
      </c>
      <c r="E17" s="8">
        <v>19.54</v>
      </c>
      <c r="F17" s="267">
        <f t="shared" si="0"/>
        <v>30.928399999999996</v>
      </c>
      <c r="G17" s="267">
        <f t="shared" si="0"/>
        <v>32.6318</v>
      </c>
      <c r="H17" s="267">
        <f>(190+301.24+155.58+389.04+111.9+274.2+5.31+69.72+9.4)/1000</f>
        <v>1.5063900000000003</v>
      </c>
      <c r="I17" s="267">
        <f>1.998-I16</f>
        <v>1.552</v>
      </c>
      <c r="J17" s="8">
        <v>18.52</v>
      </c>
      <c r="K17" s="8">
        <v>19.54</v>
      </c>
      <c r="L17" s="267">
        <f t="shared" si="1"/>
        <v>27.898342800000005</v>
      </c>
      <c r="M17" s="267">
        <f t="shared" si="1"/>
        <v>30.32608</v>
      </c>
      <c r="N17" s="8">
        <f>22.83</f>
        <v>22.83</v>
      </c>
      <c r="O17" s="8">
        <f>33.75+0.28+0.34</f>
        <v>34.370000000000005</v>
      </c>
    </row>
    <row r="18" spans="1:15" ht="15">
      <c r="A18" s="49" t="s">
        <v>114</v>
      </c>
      <c r="B18" s="267">
        <v>2.26</v>
      </c>
      <c r="C18" s="267">
        <v>2.26</v>
      </c>
      <c r="D18" s="8">
        <v>18.52</v>
      </c>
      <c r="E18" s="8">
        <v>19.54</v>
      </c>
      <c r="F18" s="267">
        <f t="shared" si="0"/>
        <v>41.855199999999996</v>
      </c>
      <c r="G18" s="267">
        <f t="shared" si="0"/>
        <v>44.160399999999996</v>
      </c>
      <c r="H18" s="267">
        <f>0.38+0.38</f>
        <v>0.76</v>
      </c>
      <c r="I18" s="267">
        <f>0.35+0.2</f>
        <v>0.55</v>
      </c>
      <c r="J18" s="8">
        <v>18.52</v>
      </c>
      <c r="K18" s="8">
        <v>19.54</v>
      </c>
      <c r="L18" s="267">
        <v>7.24</v>
      </c>
      <c r="M18" s="267">
        <v>5.85</v>
      </c>
      <c r="N18" s="8">
        <f>7.08</f>
        <v>7.08</v>
      </c>
      <c r="O18" s="8">
        <f>5.74</f>
        <v>5.74</v>
      </c>
    </row>
    <row r="19" spans="1:15" ht="15">
      <c r="A19" s="49" t="s">
        <v>285</v>
      </c>
      <c r="B19" s="267"/>
      <c r="C19" s="267"/>
      <c r="D19" s="8"/>
      <c r="E19" s="8"/>
      <c r="F19" s="267"/>
      <c r="G19" s="267"/>
      <c r="H19" s="267"/>
      <c r="I19" s="267"/>
      <c r="J19" s="8"/>
      <c r="K19" s="8"/>
      <c r="L19" s="267"/>
      <c r="M19" s="267"/>
      <c r="N19" s="8"/>
      <c r="O19" s="8"/>
    </row>
    <row r="20" spans="1:15" s="72" customFormat="1" ht="14.25">
      <c r="A20" s="110" t="s">
        <v>73</v>
      </c>
      <c r="B20" s="268">
        <f>B13+B14+B18</f>
        <v>64.10000000000001</v>
      </c>
      <c r="C20" s="268">
        <f>C13+C14+C18</f>
        <v>64.10000000000001</v>
      </c>
      <c r="D20" s="110"/>
      <c r="E20" s="110"/>
      <c r="F20" s="268">
        <f>F13+F14+F18</f>
        <v>1187.132</v>
      </c>
      <c r="G20" s="268">
        <f>G13+G14+G18</f>
        <v>1252.514</v>
      </c>
      <c r="H20" s="268">
        <f>H13+H14+H18</f>
        <v>33.71539</v>
      </c>
      <c r="I20" s="268">
        <f>I13+I14+I18</f>
        <v>48.767999999999994</v>
      </c>
      <c r="J20" s="110"/>
      <c r="K20" s="110"/>
      <c r="L20" s="268">
        <f>L13+L14+L18</f>
        <v>631.1010228</v>
      </c>
      <c r="M20" s="268">
        <f>M13+M14+M18</f>
        <v>952.17092</v>
      </c>
      <c r="N20" s="110">
        <f>N13+N14+N18</f>
        <v>517.9300000000001</v>
      </c>
      <c r="O20" s="110">
        <f>O13+O14+O18</f>
        <v>869.92</v>
      </c>
    </row>
    <row r="21" spans="1:15" s="72" customFormat="1" ht="15">
      <c r="A21" s="53" t="s">
        <v>287</v>
      </c>
      <c r="B21" s="514">
        <f>B20+C20</f>
        <v>128.20000000000002</v>
      </c>
      <c r="C21" s="515"/>
      <c r="D21" s="53"/>
      <c r="E21" s="53"/>
      <c r="F21" s="514">
        <f>F20+G20</f>
        <v>2439.6459999999997</v>
      </c>
      <c r="G21" s="515"/>
      <c r="H21" s="514">
        <f>H20+I20</f>
        <v>82.48338999999999</v>
      </c>
      <c r="I21" s="515"/>
      <c r="J21" s="53"/>
      <c r="K21" s="53"/>
      <c r="L21" s="514">
        <f>L20+M20</f>
        <v>1583.2719428</v>
      </c>
      <c r="M21" s="515"/>
      <c r="N21" s="524">
        <f>N20+O20</f>
        <v>1387.85</v>
      </c>
      <c r="O21" s="525"/>
    </row>
    <row r="24" spans="1:14" s="398" customFormat="1" ht="30" customHeight="1">
      <c r="A24" s="399" t="s">
        <v>647</v>
      </c>
      <c r="N24" s="398" t="s">
        <v>648</v>
      </c>
    </row>
    <row r="25" s="398" customFormat="1" ht="15"/>
    <row r="26" spans="1:14" s="398" customFormat="1" ht="30" customHeight="1">
      <c r="A26" s="399" t="s">
        <v>644</v>
      </c>
      <c r="N26" s="398" t="s">
        <v>645</v>
      </c>
    </row>
  </sheetData>
  <sheetProtection/>
  <mergeCells count="16">
    <mergeCell ref="N10:O10"/>
    <mergeCell ref="B21:C21"/>
    <mergeCell ref="F21:G21"/>
    <mergeCell ref="H21:I21"/>
    <mergeCell ref="L21:M21"/>
    <mergeCell ref="N21:O21"/>
    <mergeCell ref="A5:H5"/>
    <mergeCell ref="B9:G9"/>
    <mergeCell ref="H9:M9"/>
    <mergeCell ref="N9:O9"/>
    <mergeCell ref="B10:C10"/>
    <mergeCell ref="D10:E10"/>
    <mergeCell ref="F10:G10"/>
    <mergeCell ref="H10:I10"/>
    <mergeCell ref="J10:K10"/>
    <mergeCell ref="L10:M10"/>
  </mergeCells>
  <printOptions horizontalCentered="1"/>
  <pageMargins left="0.11811023622047245" right="0" top="0.35433070866141736" bottom="0.7480314960629921" header="0" footer="0.31496062992125984"/>
  <pageSetup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A6" sqref="A6:E6"/>
    </sheetView>
  </sheetViews>
  <sheetFormatPr defaultColWidth="9.140625" defaultRowHeight="15"/>
  <cols>
    <col min="1" max="2" width="27.57421875" style="1" customWidth="1"/>
    <col min="3" max="3" width="21.28125" style="1" customWidth="1"/>
    <col min="4" max="4" width="22.00390625" style="1" customWidth="1"/>
    <col min="5" max="5" width="25.28125" style="1" customWidth="1"/>
    <col min="6" max="6" width="24.140625" style="1" customWidth="1"/>
    <col min="7" max="16384" width="9.140625" style="1" customWidth="1"/>
  </cols>
  <sheetData>
    <row r="1" ht="15">
      <c r="E1" s="1" t="s">
        <v>423</v>
      </c>
    </row>
    <row r="2" spans="1:6" ht="15">
      <c r="A2" s="491" t="s">
        <v>456</v>
      </c>
      <c r="B2" s="495"/>
      <c r="C2" s="495"/>
      <c r="D2" s="495"/>
      <c r="E2" s="495"/>
      <c r="F2" s="495"/>
    </row>
    <row r="3" spans="1:5" ht="15">
      <c r="A3" s="526" t="s">
        <v>424</v>
      </c>
      <c r="B3" s="526"/>
      <c r="C3" s="526"/>
      <c r="D3" s="526"/>
      <c r="E3" s="526"/>
    </row>
    <row r="4" ht="15">
      <c r="A4" s="1" t="s">
        <v>443</v>
      </c>
    </row>
    <row r="6" spans="1:5" ht="15">
      <c r="A6" s="526" t="s">
        <v>425</v>
      </c>
      <c r="B6" s="526"/>
      <c r="C6" s="526"/>
      <c r="D6" s="526"/>
      <c r="E6" s="526"/>
    </row>
    <row r="7" ht="15.75" thickBot="1"/>
    <row r="8" spans="1:5" ht="15">
      <c r="A8" s="5" t="s">
        <v>16</v>
      </c>
      <c r="B8" s="5" t="s">
        <v>427</v>
      </c>
      <c r="C8" s="5" t="s">
        <v>429</v>
      </c>
      <c r="D8" s="5" t="s">
        <v>430</v>
      </c>
      <c r="E8" s="5" t="s">
        <v>431</v>
      </c>
    </row>
    <row r="9" spans="1:5" ht="15.75" thickBot="1">
      <c r="A9" s="7" t="s">
        <v>426</v>
      </c>
      <c r="B9" s="7" t="s">
        <v>428</v>
      </c>
      <c r="C9" s="7" t="s">
        <v>428</v>
      </c>
      <c r="D9" s="7" t="s">
        <v>428</v>
      </c>
      <c r="E9" s="7" t="s">
        <v>428</v>
      </c>
    </row>
    <row r="10" spans="1:5" ht="15">
      <c r="A10" s="9"/>
      <c r="B10" s="9"/>
      <c r="C10" s="9"/>
      <c r="D10" s="9"/>
      <c r="E10" s="9"/>
    </row>
    <row r="11" spans="1:5" ht="15">
      <c r="A11" s="8"/>
      <c r="B11" s="8"/>
      <c r="C11" s="8"/>
      <c r="D11" s="8"/>
      <c r="E11" s="8"/>
    </row>
    <row r="12" spans="1:5" ht="15">
      <c r="A12" s="8"/>
      <c r="B12" s="8"/>
      <c r="C12" s="8"/>
      <c r="D12" s="8"/>
      <c r="E12" s="8"/>
    </row>
    <row r="13" spans="1:5" ht="15">
      <c r="A13" s="8"/>
      <c r="B13" s="8"/>
      <c r="C13" s="8"/>
      <c r="D13" s="8"/>
      <c r="E13" s="8"/>
    </row>
    <row r="15" spans="1:5" ht="15">
      <c r="A15" s="526" t="s">
        <v>432</v>
      </c>
      <c r="B15" s="526"/>
      <c r="C15" s="526"/>
      <c r="D15" s="526"/>
      <c r="E15" s="526"/>
    </row>
    <row r="16" ht="15.75" thickBot="1"/>
    <row r="17" spans="1:6" ht="15">
      <c r="A17" s="527" t="s">
        <v>433</v>
      </c>
      <c r="B17" s="528"/>
      <c r="C17" s="522" t="s">
        <v>434</v>
      </c>
      <c r="D17" s="531"/>
      <c r="E17" s="527" t="s">
        <v>436</v>
      </c>
      <c r="F17" s="528"/>
    </row>
    <row r="18" spans="1:6" ht="15.75" thickBot="1">
      <c r="A18" s="529"/>
      <c r="B18" s="530"/>
      <c r="C18" s="512" t="s">
        <v>435</v>
      </c>
      <c r="D18" s="532"/>
      <c r="E18" s="529"/>
      <c r="F18" s="530"/>
    </row>
    <row r="19" spans="1:6" ht="15.75" thickBot="1">
      <c r="A19" s="176" t="s">
        <v>437</v>
      </c>
      <c r="B19" s="176" t="s">
        <v>438</v>
      </c>
      <c r="C19" s="176" t="s">
        <v>437</v>
      </c>
      <c r="D19" s="176" t="s">
        <v>438</v>
      </c>
      <c r="E19" s="176" t="s">
        <v>437</v>
      </c>
      <c r="F19" s="176" t="s">
        <v>438</v>
      </c>
    </row>
    <row r="20" spans="1:6" ht="15">
      <c r="A20" s="9"/>
      <c r="B20" s="9"/>
      <c r="C20" s="9"/>
      <c r="D20" s="9"/>
      <c r="E20" s="9"/>
      <c r="F20" s="9"/>
    </row>
    <row r="21" spans="1:6" ht="15">
      <c r="A21" s="8"/>
      <c r="B21" s="8"/>
      <c r="C21" s="8"/>
      <c r="D21" s="8"/>
      <c r="E21" s="8"/>
      <c r="F21" s="8"/>
    </row>
    <row r="22" spans="1:6" ht="15">
      <c r="A22" s="8"/>
      <c r="B22" s="8"/>
      <c r="C22" s="8"/>
      <c r="D22" s="8"/>
      <c r="E22" s="8"/>
      <c r="F22" s="8"/>
    </row>
    <row r="24" ht="15">
      <c r="A24" s="1" t="s">
        <v>439</v>
      </c>
    </row>
    <row r="26" ht="15">
      <c r="A26" s="1" t="s">
        <v>440</v>
      </c>
    </row>
    <row r="28" ht="15">
      <c r="A28" s="1" t="s">
        <v>441</v>
      </c>
    </row>
    <row r="30" ht="15">
      <c r="A30" s="1" t="s">
        <v>442</v>
      </c>
    </row>
  </sheetData>
  <sheetProtection/>
  <mergeCells count="8">
    <mergeCell ref="A2:F2"/>
    <mergeCell ref="A3:E3"/>
    <mergeCell ref="A6:E6"/>
    <mergeCell ref="A15:E15"/>
    <mergeCell ref="A17:B18"/>
    <mergeCell ref="C17:D17"/>
    <mergeCell ref="C18:D18"/>
    <mergeCell ref="E17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2" max="2" width="11.57421875" style="0" customWidth="1"/>
    <col min="7" max="7" width="10.8515625" style="0" customWidth="1"/>
    <col min="8" max="8" width="13.00390625" style="0" customWidth="1"/>
    <col min="9" max="9" width="13.140625" style="0" customWidth="1"/>
    <col min="11" max="11" width="11.140625" style="0" customWidth="1"/>
  </cols>
  <sheetData>
    <row r="1" ht="15">
      <c r="I1" s="408" t="s">
        <v>419</v>
      </c>
    </row>
    <row r="3" spans="1:11" ht="15">
      <c r="A3" s="141" t="s">
        <v>658</v>
      </c>
      <c r="B3" s="141"/>
      <c r="C3" s="141"/>
      <c r="D3" s="141"/>
      <c r="E3" s="142"/>
      <c r="F3" s="116"/>
      <c r="G3" s="116"/>
      <c r="H3" s="116"/>
      <c r="I3" s="116"/>
      <c r="J3" s="116"/>
      <c r="K3" s="116"/>
    </row>
    <row r="4" spans="1:11" ht="15">
      <c r="A4" s="145"/>
      <c r="B4" s="142"/>
      <c r="C4" s="142"/>
      <c r="D4" s="142"/>
      <c r="E4" s="142"/>
      <c r="F4" s="116"/>
      <c r="G4" s="116"/>
      <c r="H4" s="116"/>
      <c r="I4" s="116"/>
      <c r="J4" s="116"/>
      <c r="K4" s="116"/>
    </row>
    <row r="5" spans="1:11" ht="15.75" thickBot="1">
      <c r="A5" s="457" t="s">
        <v>362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</row>
    <row r="6" spans="1:11" ht="15">
      <c r="A6" s="458" t="s">
        <v>23</v>
      </c>
      <c r="B6" s="447" t="s">
        <v>363</v>
      </c>
      <c r="C6" s="447" t="s">
        <v>364</v>
      </c>
      <c r="D6" s="447" t="s">
        <v>400</v>
      </c>
      <c r="E6" s="447" t="s">
        <v>401</v>
      </c>
      <c r="F6" s="453" t="s">
        <v>402</v>
      </c>
      <c r="G6" s="454"/>
      <c r="H6" s="454"/>
      <c r="I6" s="454"/>
      <c r="J6" s="454"/>
      <c r="K6" s="473"/>
    </row>
    <row r="7" spans="1:11" ht="31.5">
      <c r="A7" s="460"/>
      <c r="B7" s="444"/>
      <c r="C7" s="444"/>
      <c r="D7" s="444"/>
      <c r="E7" s="444"/>
      <c r="F7" s="146" t="s">
        <v>4</v>
      </c>
      <c r="G7" s="146" t="s">
        <v>403</v>
      </c>
      <c r="H7" s="146" t="s">
        <v>404</v>
      </c>
      <c r="I7" s="146" t="s">
        <v>292</v>
      </c>
      <c r="J7" s="146" t="s">
        <v>293</v>
      </c>
      <c r="K7" s="172" t="s">
        <v>294</v>
      </c>
    </row>
    <row r="8" spans="1:11" ht="15">
      <c r="A8" s="173"/>
      <c r="B8" s="149" t="s">
        <v>379</v>
      </c>
      <c r="C8" s="149" t="s">
        <v>380</v>
      </c>
      <c r="D8" s="149">
        <v>1</v>
      </c>
      <c r="E8" s="149">
        <v>2</v>
      </c>
      <c r="F8" s="149">
        <v>3</v>
      </c>
      <c r="G8" s="149" t="s">
        <v>405</v>
      </c>
      <c r="H8" s="149" t="s">
        <v>319</v>
      </c>
      <c r="I8" s="149" t="s">
        <v>320</v>
      </c>
      <c r="J8" s="149" t="s">
        <v>406</v>
      </c>
      <c r="K8" s="174" t="s">
        <v>407</v>
      </c>
    </row>
    <row r="9" spans="1:11" ht="15">
      <c r="A9" s="175">
        <v>1</v>
      </c>
      <c r="B9" s="470" t="s">
        <v>66</v>
      </c>
      <c r="C9" s="471"/>
      <c r="D9" s="471"/>
      <c r="E9" s="471"/>
      <c r="F9" s="471"/>
      <c r="G9" s="471"/>
      <c r="H9" s="471"/>
      <c r="I9" s="471"/>
      <c r="J9" s="471"/>
      <c r="K9" s="472"/>
    </row>
    <row r="10" spans="1:11" ht="45">
      <c r="A10" s="175" t="s">
        <v>389</v>
      </c>
      <c r="B10" s="154" t="s">
        <v>168</v>
      </c>
      <c r="C10" s="155" t="s">
        <v>390</v>
      </c>
      <c r="D10" s="158">
        <f>F10+E10</f>
        <v>82484.43</v>
      </c>
      <c r="E10" s="157"/>
      <c r="F10" s="158">
        <f aca="true" t="shared" si="0" ref="F10:K10">SUM(F11:F22)</f>
        <v>82484.43</v>
      </c>
      <c r="G10" s="158">
        <f t="shared" si="0"/>
        <v>580.3000000000001</v>
      </c>
      <c r="H10" s="158">
        <f t="shared" si="0"/>
        <v>0</v>
      </c>
      <c r="I10" s="158">
        <f t="shared" si="0"/>
        <v>4063.629999999999</v>
      </c>
      <c r="J10" s="158">
        <f t="shared" si="0"/>
        <v>77102.87000000001</v>
      </c>
      <c r="K10" s="160">
        <f t="shared" si="0"/>
        <v>737.63</v>
      </c>
    </row>
    <row r="11" spans="1:11" ht="15">
      <c r="A11" s="153" t="s">
        <v>137</v>
      </c>
      <c r="B11" s="154" t="s">
        <v>333</v>
      </c>
      <c r="C11" s="155"/>
      <c r="D11" s="161"/>
      <c r="E11" s="161"/>
      <c r="F11" s="158">
        <f aca="true" t="shared" si="1" ref="F11:F22">G11+I11+H11+J11+K11</f>
        <v>4173.95</v>
      </c>
      <c r="G11" s="157">
        <v>100</v>
      </c>
      <c r="H11" s="157"/>
      <c r="I11" s="157">
        <v>381.73999999999995</v>
      </c>
      <c r="J11" s="157">
        <v>3632.41</v>
      </c>
      <c r="K11" s="163">
        <f>0.3+15+6.5+10+7.5+7.5+8+5</f>
        <v>59.8</v>
      </c>
    </row>
    <row r="12" spans="1:11" ht="15">
      <c r="A12" s="153" t="s">
        <v>138</v>
      </c>
      <c r="B12" s="154" t="s">
        <v>334</v>
      </c>
      <c r="C12" s="155"/>
      <c r="D12" s="161"/>
      <c r="E12" s="161"/>
      <c r="F12" s="158">
        <f t="shared" si="1"/>
        <v>4024.9800000000005</v>
      </c>
      <c r="G12" s="157">
        <v>106.95</v>
      </c>
      <c r="H12" s="157"/>
      <c r="I12" s="157">
        <v>324.64</v>
      </c>
      <c r="J12" s="157">
        <v>3533.59</v>
      </c>
      <c r="K12" s="163">
        <f>0.3+15+6.5+10+7.5+7.5+8+5</f>
        <v>59.8</v>
      </c>
    </row>
    <row r="13" spans="1:11" ht="15">
      <c r="A13" s="153" t="s">
        <v>298</v>
      </c>
      <c r="B13" s="154" t="s">
        <v>335</v>
      </c>
      <c r="C13" s="155"/>
      <c r="D13" s="161"/>
      <c r="E13" s="161"/>
      <c r="F13" s="158">
        <f t="shared" si="1"/>
        <v>4050.51</v>
      </c>
      <c r="G13" s="157">
        <v>84.15</v>
      </c>
      <c r="H13" s="157"/>
      <c r="I13" s="157">
        <v>350.97999999999996</v>
      </c>
      <c r="J13" s="157">
        <v>3555.48</v>
      </c>
      <c r="K13" s="163">
        <f>0.4+15+6.5+10+7.5+7.5+8+5</f>
        <v>59.9</v>
      </c>
    </row>
    <row r="14" spans="1:11" ht="15">
      <c r="A14" s="153" t="s">
        <v>391</v>
      </c>
      <c r="B14" s="154" t="s">
        <v>337</v>
      </c>
      <c r="C14" s="155"/>
      <c r="D14" s="161"/>
      <c r="E14" s="161"/>
      <c r="F14" s="158">
        <f t="shared" si="1"/>
        <v>4944.37</v>
      </c>
      <c r="G14" s="157">
        <v>63.8</v>
      </c>
      <c r="H14" s="157"/>
      <c r="I14" s="157">
        <v>312.31000000000006</v>
      </c>
      <c r="J14" s="157">
        <v>4501.26</v>
      </c>
      <c r="K14" s="163">
        <f>10+15+6.5+7.5*3+8+5</f>
        <v>67</v>
      </c>
    </row>
    <row r="15" spans="1:11" ht="15">
      <c r="A15" s="153" t="s">
        <v>392</v>
      </c>
      <c r="B15" s="154" t="s">
        <v>338</v>
      </c>
      <c r="C15" s="155"/>
      <c r="D15" s="161"/>
      <c r="E15" s="161"/>
      <c r="F15" s="158">
        <f t="shared" si="1"/>
        <v>4450.88</v>
      </c>
      <c r="G15" s="157">
        <v>25.7</v>
      </c>
      <c r="H15" s="157"/>
      <c r="I15" s="157">
        <v>339.30999999999995</v>
      </c>
      <c r="J15" s="157">
        <v>4017.8700000000003</v>
      </c>
      <c r="K15" s="163">
        <f>10+15+6.5+7.5*3+8+6</f>
        <v>68</v>
      </c>
    </row>
    <row r="16" spans="1:11" ht="15">
      <c r="A16" s="153" t="s">
        <v>393</v>
      </c>
      <c r="B16" s="154" t="s">
        <v>339</v>
      </c>
      <c r="C16" s="155"/>
      <c r="D16" s="161"/>
      <c r="E16" s="161"/>
      <c r="F16" s="158">
        <f t="shared" si="1"/>
        <v>12062.74</v>
      </c>
      <c r="G16" s="157"/>
      <c r="H16" s="157"/>
      <c r="I16" s="157">
        <v>356.40999999999997</v>
      </c>
      <c r="J16" s="157">
        <v>11638.33</v>
      </c>
      <c r="K16" s="163">
        <f>16+15+6.5+7.5*3+8</f>
        <v>68</v>
      </c>
    </row>
    <row r="17" spans="1:11" ht="15">
      <c r="A17" s="153" t="s">
        <v>394</v>
      </c>
      <c r="B17" s="154" t="s">
        <v>342</v>
      </c>
      <c r="C17" s="155"/>
      <c r="D17" s="161"/>
      <c r="E17" s="161"/>
      <c r="F17" s="158">
        <f t="shared" si="1"/>
        <v>11987.18</v>
      </c>
      <c r="G17" s="157"/>
      <c r="H17" s="157"/>
      <c r="I17" s="157">
        <v>345.8399999999999</v>
      </c>
      <c r="J17" s="157">
        <v>11565.61</v>
      </c>
      <c r="K17" s="163">
        <f>6+15+6.5+7.5+33.23+7.5</f>
        <v>75.72999999999999</v>
      </c>
    </row>
    <row r="18" spans="1:11" ht="15">
      <c r="A18" s="153" t="s">
        <v>395</v>
      </c>
      <c r="B18" s="154" t="s">
        <v>343</v>
      </c>
      <c r="C18" s="155"/>
      <c r="D18" s="161"/>
      <c r="E18" s="161"/>
      <c r="F18" s="158">
        <f t="shared" si="1"/>
        <v>12295.369999999999</v>
      </c>
      <c r="G18" s="157"/>
      <c r="H18" s="157"/>
      <c r="I18" s="157">
        <v>279.84</v>
      </c>
      <c r="J18" s="157">
        <v>11939.8</v>
      </c>
      <c r="K18" s="163">
        <f>6+15+6.5+7.5+33.23+7.5</f>
        <v>75.72999999999999</v>
      </c>
    </row>
    <row r="19" spans="1:11" ht="15">
      <c r="A19" s="153" t="s">
        <v>396</v>
      </c>
      <c r="B19" s="154" t="s">
        <v>344</v>
      </c>
      <c r="C19" s="155"/>
      <c r="D19" s="161"/>
      <c r="E19" s="161"/>
      <c r="F19" s="158">
        <f t="shared" si="1"/>
        <v>11646.54</v>
      </c>
      <c r="G19" s="157">
        <v>15.8</v>
      </c>
      <c r="H19" s="157"/>
      <c r="I19" s="157">
        <v>361.73999999999995</v>
      </c>
      <c r="J19" s="157">
        <v>11193.300000000001</v>
      </c>
      <c r="K19" s="163">
        <f>6+15+6.5+7.5+33.2+7.5</f>
        <v>75.7</v>
      </c>
    </row>
    <row r="20" spans="1:11" ht="15">
      <c r="A20" s="153" t="s">
        <v>397</v>
      </c>
      <c r="B20" s="154" t="s">
        <v>347</v>
      </c>
      <c r="C20" s="155"/>
      <c r="D20" s="161"/>
      <c r="E20" s="161"/>
      <c r="F20" s="158">
        <f t="shared" si="1"/>
        <v>4004.5899999999997</v>
      </c>
      <c r="G20" s="157">
        <v>31.3</v>
      </c>
      <c r="H20" s="157"/>
      <c r="I20" s="157">
        <v>333.04</v>
      </c>
      <c r="J20" s="157">
        <v>3597.5899999999997</v>
      </c>
      <c r="K20" s="163">
        <f>3.67+15+6.5+7.5+2.49+7.5</f>
        <v>42.660000000000004</v>
      </c>
    </row>
    <row r="21" spans="1:11" ht="15">
      <c r="A21" s="153" t="s">
        <v>398</v>
      </c>
      <c r="B21" s="154" t="s">
        <v>348</v>
      </c>
      <c r="C21" s="155"/>
      <c r="D21" s="161"/>
      <c r="E21" s="161"/>
      <c r="F21" s="158">
        <f t="shared" si="1"/>
        <v>4154.5199999999995</v>
      </c>
      <c r="G21" s="157">
        <v>74.5</v>
      </c>
      <c r="H21" s="157"/>
      <c r="I21" s="157">
        <v>363.03999999999996</v>
      </c>
      <c r="J21" s="157">
        <v>3674.33</v>
      </c>
      <c r="K21" s="163">
        <f>3.66+15+6.5+7.5+2.49+7.5</f>
        <v>42.65</v>
      </c>
    </row>
    <row r="22" spans="1:11" ht="15.75" thickBot="1">
      <c r="A22" s="164" t="s">
        <v>399</v>
      </c>
      <c r="B22" s="165" t="s">
        <v>349</v>
      </c>
      <c r="C22" s="166"/>
      <c r="D22" s="167"/>
      <c r="E22" s="167"/>
      <c r="F22" s="168">
        <f t="shared" si="1"/>
        <v>4688.799999999999</v>
      </c>
      <c r="G22" s="169">
        <v>78.1</v>
      </c>
      <c r="H22" s="169"/>
      <c r="I22" s="169">
        <v>314.74</v>
      </c>
      <c r="J22" s="169">
        <v>4253.299999999999</v>
      </c>
      <c r="K22" s="171">
        <f>3.67+15+6.5+7.5+2.49+7.5</f>
        <v>42.660000000000004</v>
      </c>
    </row>
    <row r="25" spans="1:20" s="403" customFormat="1" ht="27" customHeight="1">
      <c r="A25" s="401" t="s">
        <v>647</v>
      </c>
      <c r="C25" s="401"/>
      <c r="D25" s="401"/>
      <c r="E25" s="401"/>
      <c r="F25" s="401"/>
      <c r="G25" s="401"/>
      <c r="H25" s="401"/>
      <c r="I25" s="402" t="s">
        <v>648</v>
      </c>
      <c r="J25" s="401"/>
      <c r="K25" s="401"/>
      <c r="L25" s="401"/>
      <c r="M25" s="401"/>
      <c r="N25" s="401"/>
      <c r="O25" s="401"/>
      <c r="P25" s="401"/>
      <c r="Q25" s="402"/>
      <c r="R25" s="401"/>
      <c r="S25" s="401"/>
      <c r="T25" s="401"/>
    </row>
    <row r="26" spans="1:20" s="405" customFormat="1" ht="15">
      <c r="A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</row>
    <row r="27" spans="1:20" s="406" customFormat="1" ht="28.5" customHeight="1">
      <c r="A27" s="402" t="s">
        <v>644</v>
      </c>
      <c r="C27" s="401"/>
      <c r="D27" s="401"/>
      <c r="E27" s="401"/>
      <c r="F27" s="401"/>
      <c r="G27" s="401"/>
      <c r="H27" s="401"/>
      <c r="I27" s="402" t="s">
        <v>645</v>
      </c>
      <c r="J27" s="401"/>
      <c r="K27" s="401"/>
      <c r="M27" s="401"/>
      <c r="N27" s="401"/>
      <c r="O27" s="401"/>
      <c r="P27" s="401"/>
      <c r="Q27" s="402"/>
      <c r="R27" s="401"/>
      <c r="S27" s="401"/>
      <c r="T27" s="401"/>
    </row>
  </sheetData>
  <sheetProtection/>
  <mergeCells count="8">
    <mergeCell ref="B9:K9"/>
    <mergeCell ref="A5:K5"/>
    <mergeCell ref="A6:A7"/>
    <mergeCell ref="B6:B7"/>
    <mergeCell ref="C6:C7"/>
    <mergeCell ref="D6:D7"/>
    <mergeCell ref="E6:E7"/>
    <mergeCell ref="F6:K6"/>
  </mergeCells>
  <dataValidations count="1">
    <dataValidation allowBlank="1" showInputMessage="1" showErrorMessage="1" sqref="H7:I7"/>
  </dataValidations>
  <printOptions horizontalCentered="1"/>
  <pageMargins left="0.7086614173228347" right="0" top="0.7480314960629921" bottom="0.7480314960629921" header="0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61"/>
  <sheetViews>
    <sheetView zoomScalePageLayoutView="0" workbookViewId="0" topLeftCell="A6">
      <pane xSplit="2" ySplit="4" topLeftCell="C10" activePane="bottomRight" state="frozen"/>
      <selection pane="topLeft" activeCell="A6" sqref="A6"/>
      <selection pane="topRight" activeCell="C6" sqref="C6"/>
      <selection pane="bottomLeft" activeCell="A10" sqref="A10"/>
      <selection pane="bottomRight" activeCell="E17" sqref="E17"/>
    </sheetView>
  </sheetViews>
  <sheetFormatPr defaultColWidth="9.140625" defaultRowHeight="15"/>
  <cols>
    <col min="1" max="1" width="4.8515625" style="205" customWidth="1"/>
    <col min="2" max="2" width="38.57421875" style="205" customWidth="1"/>
    <col min="3" max="3" width="12.8515625" style="205" customWidth="1"/>
    <col min="4" max="4" width="11.57421875" style="205" customWidth="1"/>
    <col min="5" max="5" width="12.7109375" style="205" customWidth="1"/>
    <col min="6" max="6" width="11.00390625" style="205" customWidth="1"/>
    <col min="7" max="7" width="12.421875" style="205" customWidth="1"/>
    <col min="8" max="8" width="11.00390625" style="205" customWidth="1"/>
    <col min="9" max="9" width="10.7109375" style="206" customWidth="1"/>
    <col min="10" max="10" width="11.28125" style="206" customWidth="1"/>
    <col min="11" max="11" width="9.140625" style="206" customWidth="1"/>
    <col min="12" max="248" width="9.140625" style="205" customWidth="1"/>
  </cols>
  <sheetData>
    <row r="1" spans="1:11" ht="18.75">
      <c r="A1" s="256"/>
      <c r="B1" s="116"/>
      <c r="C1" s="116"/>
      <c r="D1" s="116"/>
      <c r="E1" s="116"/>
      <c r="F1" s="117"/>
      <c r="G1" s="118"/>
      <c r="H1" s="116"/>
      <c r="I1" s="260"/>
      <c r="J1" s="121"/>
      <c r="K1" s="116"/>
    </row>
    <row r="2" spans="1:11" ht="15">
      <c r="A2" s="256"/>
      <c r="B2" s="116"/>
      <c r="C2" s="116"/>
      <c r="D2" s="116"/>
      <c r="E2" s="116"/>
      <c r="F2" s="121" t="s">
        <v>420</v>
      </c>
      <c r="G2" s="116"/>
      <c r="H2" s="116"/>
      <c r="I2" s="260"/>
      <c r="J2" s="121"/>
      <c r="K2" s="116"/>
    </row>
    <row r="3" spans="1:11" ht="15">
      <c r="A3" s="256"/>
      <c r="B3" s="116" t="s">
        <v>593</v>
      </c>
      <c r="C3" s="116"/>
      <c r="D3" s="116"/>
      <c r="E3" s="116"/>
      <c r="F3" s="121"/>
      <c r="G3" s="116"/>
      <c r="H3" s="116"/>
      <c r="I3" s="260"/>
      <c r="J3" s="121"/>
      <c r="K3" s="116"/>
    </row>
    <row r="4" spans="1:11" ht="15">
      <c r="A4" s="256"/>
      <c r="B4" s="121" t="s">
        <v>590</v>
      </c>
      <c r="C4" s="116"/>
      <c r="D4" s="116"/>
      <c r="E4" s="116"/>
      <c r="F4" s="121"/>
      <c r="G4" s="116"/>
      <c r="H4" s="116"/>
      <c r="I4" s="260"/>
      <c r="J4" s="121"/>
      <c r="K4" s="116"/>
    </row>
    <row r="5" spans="1:11" ht="15">
      <c r="A5" s="256"/>
      <c r="B5" s="116"/>
      <c r="C5" s="116"/>
      <c r="D5" s="116"/>
      <c r="E5" s="116"/>
      <c r="F5" s="116"/>
      <c r="G5" s="116"/>
      <c r="H5" s="116"/>
      <c r="I5" s="260"/>
      <c r="J5" s="121"/>
      <c r="K5" s="116"/>
    </row>
    <row r="6" spans="1:11" ht="15">
      <c r="A6" s="119"/>
      <c r="B6" s="479" t="s">
        <v>592</v>
      </c>
      <c r="C6" s="479"/>
      <c r="D6" s="479"/>
      <c r="E6" s="479"/>
      <c r="F6" s="479"/>
      <c r="G6" s="116"/>
      <c r="H6" s="116"/>
      <c r="I6" s="260"/>
      <c r="J6" s="121"/>
      <c r="K6" s="116"/>
    </row>
    <row r="7" spans="1:2" ht="15">
      <c r="A7" s="119"/>
      <c r="B7" s="119"/>
    </row>
    <row r="8" spans="1:10" ht="32.25" customHeight="1">
      <c r="A8" s="482"/>
      <c r="B8" s="484" t="s">
        <v>48</v>
      </c>
      <c r="C8" s="485" t="s">
        <v>587</v>
      </c>
      <c r="D8" s="485"/>
      <c r="E8" s="486" t="s">
        <v>459</v>
      </c>
      <c r="F8" s="487"/>
      <c r="G8" s="474" t="s">
        <v>460</v>
      </c>
      <c r="H8" s="475"/>
      <c r="I8" s="480" t="s">
        <v>573</v>
      </c>
      <c r="J8" s="481"/>
    </row>
    <row r="9" spans="1:10" ht="26.25" thickBot="1">
      <c r="A9" s="483"/>
      <c r="B9" s="482"/>
      <c r="C9" s="207" t="s">
        <v>461</v>
      </c>
      <c r="D9" s="207" t="s">
        <v>462</v>
      </c>
      <c r="E9" s="208" t="s">
        <v>461</v>
      </c>
      <c r="F9" s="207" t="s">
        <v>462</v>
      </c>
      <c r="G9" s="208" t="s">
        <v>461</v>
      </c>
      <c r="H9" s="257" t="s">
        <v>462</v>
      </c>
      <c r="I9" s="261" t="s">
        <v>574</v>
      </c>
      <c r="J9" s="261" t="s">
        <v>18</v>
      </c>
    </row>
    <row r="10" spans="1:10" ht="15.75" thickBot="1">
      <c r="A10" s="209" t="s">
        <v>463</v>
      </c>
      <c r="B10" s="210" t="s">
        <v>464</v>
      </c>
      <c r="C10" s="310">
        <f>C11+C14+C25+C26</f>
        <v>2123.95928</v>
      </c>
      <c r="D10" s="311">
        <f aca="true" t="shared" si="0" ref="D10:D15">C10/$C$100*1000</f>
        <v>1743.5226399605976</v>
      </c>
      <c r="E10" s="310">
        <f>E11+E14+E25+E26</f>
        <v>1327.48</v>
      </c>
      <c r="F10" s="312">
        <f aca="true" t="shared" si="1" ref="F10:F15">E10/$E$100*1000</f>
        <v>1427.6127589099435</v>
      </c>
      <c r="G10" s="248">
        <f>E10/C10*100</f>
        <v>62.5002565962564</v>
      </c>
      <c r="H10" s="211">
        <f>F10/D10*100</f>
        <v>81.88094184668611</v>
      </c>
      <c r="I10" s="350">
        <f>C10/$C$98*100</f>
        <v>60.39347388052426</v>
      </c>
      <c r="J10" s="350">
        <f>E10/$E$98*100</f>
        <v>52.14437429631025</v>
      </c>
    </row>
    <row r="11" spans="1:10" ht="15" customHeight="1">
      <c r="A11" s="212" t="s">
        <v>465</v>
      </c>
      <c r="B11" s="213" t="s">
        <v>466</v>
      </c>
      <c r="C11" s="313">
        <f>C12+C13</f>
        <v>0</v>
      </c>
      <c r="D11" s="314">
        <f t="shared" si="0"/>
        <v>0</v>
      </c>
      <c r="E11" s="315">
        <f>E12+E13</f>
        <v>135.32</v>
      </c>
      <c r="F11" s="316">
        <f t="shared" si="1"/>
        <v>145.52728367711268</v>
      </c>
      <c r="G11" s="364" t="e">
        <f aca="true" t="shared" si="2" ref="G11:G74">E11/C11*100</f>
        <v>#DIV/0!</v>
      </c>
      <c r="H11" s="365" t="e">
        <f aca="true" t="shared" si="3" ref="H11:H74">F11/D11*100</f>
        <v>#DIV/0!</v>
      </c>
      <c r="I11" s="351">
        <f>C11/$C$98*100</f>
        <v>0</v>
      </c>
      <c r="J11" s="351">
        <f>E11/$E$98*100</f>
        <v>5.315467449435548</v>
      </c>
    </row>
    <row r="12" spans="1:248" ht="17.25" customHeight="1">
      <c r="A12" s="218"/>
      <c r="B12" s="219" t="s">
        <v>467</v>
      </c>
      <c r="C12" s="317">
        <v>0</v>
      </c>
      <c r="D12" s="318">
        <f t="shared" si="0"/>
        <v>0</v>
      </c>
      <c r="E12" s="319">
        <f>63.68+71.64</f>
        <v>135.32</v>
      </c>
      <c r="F12" s="320">
        <f t="shared" si="1"/>
        <v>145.52728367711268</v>
      </c>
      <c r="G12" s="366" t="e">
        <f t="shared" si="2"/>
        <v>#DIV/0!</v>
      </c>
      <c r="H12" s="367" t="e">
        <f t="shared" si="3"/>
        <v>#DIV/0!</v>
      </c>
      <c r="I12" s="352"/>
      <c r="J12" s="352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</row>
    <row r="13" spans="1:248" ht="17.25" customHeight="1">
      <c r="A13" s="218"/>
      <c r="B13" s="219" t="s">
        <v>468</v>
      </c>
      <c r="C13" s="321"/>
      <c r="D13" s="318">
        <f t="shared" si="0"/>
        <v>0</v>
      </c>
      <c r="E13" s="322"/>
      <c r="F13" s="320">
        <f t="shared" si="1"/>
        <v>0</v>
      </c>
      <c r="G13" s="366" t="e">
        <f t="shared" si="2"/>
        <v>#DIV/0!</v>
      </c>
      <c r="H13" s="367" t="e">
        <f t="shared" si="3"/>
        <v>#DIV/0!</v>
      </c>
      <c r="I13" s="352"/>
      <c r="J13" s="352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</row>
    <row r="14" spans="1:248" ht="14.25" customHeight="1">
      <c r="A14" s="218" t="s">
        <v>469</v>
      </c>
      <c r="B14" s="220" t="s">
        <v>470</v>
      </c>
      <c r="C14" s="318">
        <f>C15+C19</f>
        <v>1982.39</v>
      </c>
      <c r="D14" s="318">
        <f t="shared" si="0"/>
        <v>1627.310786406173</v>
      </c>
      <c r="E14" s="323">
        <f>E15+E19</f>
        <v>1046.55</v>
      </c>
      <c r="F14" s="320">
        <f t="shared" si="1"/>
        <v>1125.4920095498246</v>
      </c>
      <c r="G14" s="217">
        <f t="shared" si="2"/>
        <v>52.79233652308577</v>
      </c>
      <c r="H14" s="216">
        <f t="shared" si="3"/>
        <v>69.16269583853814</v>
      </c>
      <c r="I14" s="352">
        <f>C14/$C$98*100</f>
        <v>56.368038602892845</v>
      </c>
      <c r="J14" s="352">
        <f>E14/$E$98*100</f>
        <v>41.10924075677486</v>
      </c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</row>
    <row r="15" spans="1:248" ht="15.75" customHeight="1">
      <c r="A15" s="218"/>
      <c r="B15" s="219" t="s">
        <v>471</v>
      </c>
      <c r="C15" s="318">
        <v>1413.89</v>
      </c>
      <c r="D15" s="318">
        <f t="shared" si="0"/>
        <v>1160.6386471843705</v>
      </c>
      <c r="E15" s="324">
        <f>661.66+48.16</f>
        <v>709.8199999999999</v>
      </c>
      <c r="F15" s="320">
        <f t="shared" si="1"/>
        <v>763.3622265717419</v>
      </c>
      <c r="G15" s="217">
        <f t="shared" si="2"/>
        <v>50.203339722326334</v>
      </c>
      <c r="H15" s="216">
        <f t="shared" si="3"/>
        <v>65.77087782003521</v>
      </c>
      <c r="I15" s="352">
        <f>C15/$C$14*100</f>
        <v>71.32249456464167</v>
      </c>
      <c r="J15" s="352">
        <f>E15/$E$14*100</f>
        <v>67.8247575366681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</row>
    <row r="16" spans="1:248" ht="14.25" customHeight="1">
      <c r="A16" s="218"/>
      <c r="B16" s="219" t="s">
        <v>472</v>
      </c>
      <c r="C16" s="318">
        <v>9</v>
      </c>
      <c r="D16" s="318"/>
      <c r="E16" s="323">
        <v>5</v>
      </c>
      <c r="F16" s="320"/>
      <c r="G16" s="217">
        <f t="shared" si="2"/>
        <v>55.55555555555556</v>
      </c>
      <c r="H16" s="216"/>
      <c r="I16" s="352"/>
      <c r="J16" s="352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</row>
    <row r="17" spans="1:248" ht="15.75" customHeight="1">
      <c r="A17" s="218"/>
      <c r="B17" s="219" t="s">
        <v>473</v>
      </c>
      <c r="C17" s="318">
        <v>14961.8</v>
      </c>
      <c r="D17" s="318"/>
      <c r="E17" s="323">
        <f>E15/E16/12*1000</f>
        <v>11830.333333333334</v>
      </c>
      <c r="F17" s="320"/>
      <c r="G17" s="217">
        <f t="shared" si="2"/>
        <v>79.0702544702732</v>
      </c>
      <c r="H17" s="216"/>
      <c r="I17" s="352"/>
      <c r="J17" s="352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</row>
    <row r="18" spans="1:248" ht="15.75" customHeight="1">
      <c r="A18" s="218"/>
      <c r="B18" s="219" t="s">
        <v>474</v>
      </c>
      <c r="C18" s="318">
        <v>5232.32</v>
      </c>
      <c r="D18" s="318"/>
      <c r="E18" s="323">
        <v>4997.44</v>
      </c>
      <c r="F18" s="320"/>
      <c r="G18" s="217">
        <f t="shared" si="2"/>
        <v>95.51097792183964</v>
      </c>
      <c r="H18" s="216"/>
      <c r="I18" s="352"/>
      <c r="J18" s="352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</row>
    <row r="19" spans="1:248" ht="15.75" customHeight="1">
      <c r="A19" s="218"/>
      <c r="B19" s="219" t="s">
        <v>551</v>
      </c>
      <c r="C19" s="318">
        <v>568.5</v>
      </c>
      <c r="D19" s="318">
        <f>C19/$C$100*1000</f>
        <v>466.67213922180264</v>
      </c>
      <c r="E19" s="318">
        <v>336.73</v>
      </c>
      <c r="F19" s="320">
        <f>E19/$E$100*1000</f>
        <v>362.12978297808274</v>
      </c>
      <c r="G19" s="217">
        <f t="shared" si="2"/>
        <v>59.231310466138964</v>
      </c>
      <c r="H19" s="216">
        <f t="shared" si="3"/>
        <v>77.59832922144247</v>
      </c>
      <c r="I19" s="352">
        <f>C19/$C$14*100</f>
        <v>28.67750543535833</v>
      </c>
      <c r="J19" s="352">
        <f>E19/$E$14*100</f>
        <v>32.175242463331905</v>
      </c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</row>
    <row r="20" spans="1:248" ht="14.25" customHeight="1">
      <c r="A20" s="218"/>
      <c r="B20" s="219" t="s">
        <v>472</v>
      </c>
      <c r="C20" s="318">
        <v>2</v>
      </c>
      <c r="D20" s="318"/>
      <c r="E20" s="323">
        <v>1.5</v>
      </c>
      <c r="F20" s="320"/>
      <c r="G20" s="217">
        <f t="shared" si="2"/>
        <v>75</v>
      </c>
      <c r="H20" s="216"/>
      <c r="I20" s="352"/>
      <c r="J20" s="352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</row>
    <row r="21" spans="1:248" ht="15.75" customHeight="1">
      <c r="A21" s="218"/>
      <c r="B21" s="219" t="s">
        <v>473</v>
      </c>
      <c r="C21" s="318">
        <v>17664.31</v>
      </c>
      <c r="D21" s="318"/>
      <c r="E21" s="323">
        <f>E19/E20/12*1000</f>
        <v>18707.222222222223</v>
      </c>
      <c r="F21" s="320"/>
      <c r="G21" s="217">
        <f t="shared" si="2"/>
        <v>105.90406430945913</v>
      </c>
      <c r="H21" s="216"/>
      <c r="I21" s="352"/>
      <c r="J21" s="352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</row>
    <row r="22" spans="1:248" ht="15" customHeight="1">
      <c r="A22" s="218"/>
      <c r="B22" s="219" t="s">
        <v>552</v>
      </c>
      <c r="C22" s="318"/>
      <c r="D22" s="318"/>
      <c r="E22" s="323"/>
      <c r="F22" s="320"/>
      <c r="G22" s="366" t="e">
        <f t="shared" si="2"/>
        <v>#DIV/0!</v>
      </c>
      <c r="H22" s="367" t="e">
        <f t="shared" si="3"/>
        <v>#DIV/0!</v>
      </c>
      <c r="I22" s="352">
        <f>C22/$C$14*100</f>
        <v>0</v>
      </c>
      <c r="J22" s="352">
        <f>E22/$E$14*100</f>
        <v>0</v>
      </c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6"/>
      <c r="HQ22" s="206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  <c r="IJ22" s="206"/>
      <c r="IK22" s="206"/>
      <c r="IL22" s="206"/>
      <c r="IM22" s="206"/>
      <c r="IN22" s="206"/>
    </row>
    <row r="23" spans="1:248" ht="15" customHeight="1">
      <c r="A23" s="218"/>
      <c r="B23" s="219" t="s">
        <v>472</v>
      </c>
      <c r="C23" s="318"/>
      <c r="D23" s="318"/>
      <c r="E23" s="323"/>
      <c r="F23" s="320"/>
      <c r="G23" s="366" t="e">
        <f t="shared" si="2"/>
        <v>#DIV/0!</v>
      </c>
      <c r="H23" s="367"/>
      <c r="I23" s="352"/>
      <c r="J23" s="352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6"/>
      <c r="HB23" s="206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6"/>
      <c r="HQ23" s="206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  <c r="IJ23" s="206"/>
      <c r="IK23" s="206"/>
      <c r="IL23" s="206"/>
      <c r="IM23" s="206"/>
      <c r="IN23" s="206"/>
    </row>
    <row r="24" spans="1:248" ht="15.75" customHeight="1">
      <c r="A24" s="218"/>
      <c r="B24" s="219" t="s">
        <v>473</v>
      </c>
      <c r="C24" s="318"/>
      <c r="D24" s="318"/>
      <c r="E24" s="323"/>
      <c r="F24" s="320"/>
      <c r="G24" s="366" t="e">
        <f t="shared" si="2"/>
        <v>#DIV/0!</v>
      </c>
      <c r="H24" s="367"/>
      <c r="I24" s="352"/>
      <c r="J24" s="352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  <c r="IL24" s="206"/>
      <c r="IM24" s="206"/>
      <c r="IN24" s="206"/>
    </row>
    <row r="25" spans="1:248" ht="25.5" customHeight="1">
      <c r="A25" s="218" t="s">
        <v>475</v>
      </c>
      <c r="B25" s="220" t="s">
        <v>476</v>
      </c>
      <c r="C25" s="321"/>
      <c r="D25" s="318">
        <f>C25/$C$100*1000</f>
        <v>0</v>
      </c>
      <c r="E25" s="325"/>
      <c r="F25" s="320">
        <f>E25/$E$100*1000</f>
        <v>0</v>
      </c>
      <c r="G25" s="366" t="e">
        <f t="shared" si="2"/>
        <v>#DIV/0!</v>
      </c>
      <c r="H25" s="367" t="e">
        <f t="shared" si="3"/>
        <v>#DIV/0!</v>
      </c>
      <c r="I25" s="352">
        <f>C25/$C$98*100</f>
        <v>0</v>
      </c>
      <c r="J25" s="352">
        <f>E25/$E$98*100</f>
        <v>0</v>
      </c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</row>
    <row r="26" spans="1:248" ht="16.5" customHeight="1">
      <c r="A26" s="218" t="s">
        <v>477</v>
      </c>
      <c r="B26" s="220" t="s">
        <v>478</v>
      </c>
      <c r="C26" s="318">
        <f>C27+C28+C29+C30+C31+C32+C33+C34+C35+C36</f>
        <v>141.56928</v>
      </c>
      <c r="D26" s="318">
        <f>C26/$C$100*1000</f>
        <v>116.21185355442455</v>
      </c>
      <c r="E26" s="318">
        <f>E27+E28+E29+E30+E31+E32+E33+E34+E35+E36</f>
        <v>145.61</v>
      </c>
      <c r="F26" s="320">
        <f>E26/$E$100*1000</f>
        <v>156.59346568300606</v>
      </c>
      <c r="G26" s="217">
        <f t="shared" si="2"/>
        <v>102.8542350430828</v>
      </c>
      <c r="H26" s="216">
        <f t="shared" si="3"/>
        <v>134.74827299753025</v>
      </c>
      <c r="I26" s="352">
        <f>C26/$C$98*100</f>
        <v>4.025435277631417</v>
      </c>
      <c r="J26" s="352">
        <f>E26/$E$98*100</f>
        <v>5.719666090099841</v>
      </c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</row>
    <row r="27" spans="1:248" ht="26.25" customHeight="1">
      <c r="A27" s="218"/>
      <c r="B27" s="221" t="s">
        <v>479</v>
      </c>
      <c r="C27" s="318">
        <v>32.54</v>
      </c>
      <c r="D27" s="318">
        <f>C27/$C$100*1000</f>
        <v>26.71154161878181</v>
      </c>
      <c r="E27" s="318">
        <v>0.7</v>
      </c>
      <c r="F27" s="320">
        <f>E27/$E$100*1000</f>
        <v>0.7528014969995482</v>
      </c>
      <c r="G27" s="217">
        <f t="shared" si="2"/>
        <v>2.15119852489244</v>
      </c>
      <c r="H27" s="216">
        <f t="shared" si="3"/>
        <v>2.818263010586508</v>
      </c>
      <c r="I27" s="351">
        <f>C27/$C$26*100</f>
        <v>22.98521261109755</v>
      </c>
      <c r="J27" s="351">
        <f>E27/$E$26*100</f>
        <v>0.4807362131721722</v>
      </c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</row>
    <row r="28" spans="1:248" ht="18.75" customHeight="1">
      <c r="A28" s="218"/>
      <c r="B28" s="221" t="s">
        <v>553</v>
      </c>
      <c r="C28" s="318"/>
      <c r="D28" s="318">
        <f>C28/$C$100*1000</f>
        <v>0</v>
      </c>
      <c r="E28" s="323"/>
      <c r="F28" s="320">
        <f aca="true" t="shared" si="4" ref="F28:F38">E28/$E$100*1000</f>
        <v>0</v>
      </c>
      <c r="G28" s="366" t="e">
        <f t="shared" si="2"/>
        <v>#DIV/0!</v>
      </c>
      <c r="H28" s="367" t="e">
        <f t="shared" si="3"/>
        <v>#DIV/0!</v>
      </c>
      <c r="I28" s="351">
        <f aca="true" t="shared" si="5" ref="I28:I36">C28/$C$26*100</f>
        <v>0</v>
      </c>
      <c r="J28" s="351">
        <f aca="true" t="shared" si="6" ref="J28:J36">E28/$E$26*100</f>
        <v>0</v>
      </c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</row>
    <row r="29" spans="1:248" ht="17.25" customHeight="1">
      <c r="A29" s="218"/>
      <c r="B29" s="221" t="s">
        <v>480</v>
      </c>
      <c r="C29" s="318"/>
      <c r="D29" s="318"/>
      <c r="E29" s="323">
        <f>34.08+127.8-58.67</f>
        <v>103.21</v>
      </c>
      <c r="F29" s="320">
        <f t="shared" si="4"/>
        <v>110.99520357903339</v>
      </c>
      <c r="G29" s="366" t="e">
        <f t="shared" si="2"/>
        <v>#DIV/0!</v>
      </c>
      <c r="H29" s="367" t="e">
        <f t="shared" si="3"/>
        <v>#DIV/0!</v>
      </c>
      <c r="I29" s="351">
        <f t="shared" si="5"/>
        <v>0</v>
      </c>
      <c r="J29" s="351">
        <f t="shared" si="6"/>
        <v>70.88112080214269</v>
      </c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</row>
    <row r="30" spans="1:248" ht="16.5" customHeight="1">
      <c r="A30" s="218"/>
      <c r="B30" s="221" t="s">
        <v>571</v>
      </c>
      <c r="C30" s="318"/>
      <c r="D30" s="318">
        <f aca="true" t="shared" si="7" ref="D30:D38">C30/$C$100*1000</f>
        <v>0</v>
      </c>
      <c r="E30" s="318"/>
      <c r="F30" s="320">
        <f t="shared" si="4"/>
        <v>0</v>
      </c>
      <c r="G30" s="366" t="e">
        <f t="shared" si="2"/>
        <v>#DIV/0!</v>
      </c>
      <c r="H30" s="367" t="e">
        <f t="shared" si="3"/>
        <v>#DIV/0!</v>
      </c>
      <c r="I30" s="351">
        <f t="shared" si="5"/>
        <v>0</v>
      </c>
      <c r="J30" s="351">
        <f t="shared" si="6"/>
        <v>0</v>
      </c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</row>
    <row r="31" spans="1:248" ht="17.25" customHeight="1">
      <c r="A31" s="218"/>
      <c r="B31" s="222" t="s">
        <v>554</v>
      </c>
      <c r="C31" s="318"/>
      <c r="D31" s="318">
        <f t="shared" si="7"/>
        <v>0</v>
      </c>
      <c r="E31" s="318"/>
      <c r="F31" s="320">
        <f t="shared" si="4"/>
        <v>0</v>
      </c>
      <c r="G31" s="366" t="e">
        <f t="shared" si="2"/>
        <v>#DIV/0!</v>
      </c>
      <c r="H31" s="367" t="e">
        <f t="shared" si="3"/>
        <v>#DIV/0!</v>
      </c>
      <c r="I31" s="351">
        <f t="shared" si="5"/>
        <v>0</v>
      </c>
      <c r="J31" s="351">
        <f t="shared" si="6"/>
        <v>0</v>
      </c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</row>
    <row r="32" spans="1:248" ht="15.75" customHeight="1">
      <c r="A32" s="218"/>
      <c r="B32" s="222" t="s">
        <v>481</v>
      </c>
      <c r="C32" s="318">
        <f>15.55*0.894</f>
        <v>13.901700000000002</v>
      </c>
      <c r="D32" s="318">
        <f t="shared" si="7"/>
        <v>11.411672960105074</v>
      </c>
      <c r="E32" s="318">
        <v>3.83</v>
      </c>
      <c r="F32" s="320">
        <f t="shared" si="4"/>
        <v>4.118899619297529</v>
      </c>
      <c r="G32" s="217">
        <f t="shared" si="2"/>
        <v>27.550587338239207</v>
      </c>
      <c r="H32" s="216">
        <f t="shared" si="3"/>
        <v>36.093740450651715</v>
      </c>
      <c r="I32" s="351">
        <f t="shared" si="5"/>
        <v>9.819715124637211</v>
      </c>
      <c r="J32" s="351">
        <f t="shared" si="6"/>
        <v>2.630313852070599</v>
      </c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</row>
    <row r="33" spans="1:248" ht="15.75" customHeight="1">
      <c r="A33" s="218"/>
      <c r="B33" s="222" t="s">
        <v>555</v>
      </c>
      <c r="C33" s="318"/>
      <c r="D33" s="318">
        <f t="shared" si="7"/>
        <v>0</v>
      </c>
      <c r="E33" s="318"/>
      <c r="F33" s="320">
        <f t="shared" si="4"/>
        <v>0</v>
      </c>
      <c r="G33" s="366" t="e">
        <f t="shared" si="2"/>
        <v>#DIV/0!</v>
      </c>
      <c r="H33" s="367" t="e">
        <f t="shared" si="3"/>
        <v>#DIV/0!</v>
      </c>
      <c r="I33" s="351">
        <f t="shared" si="5"/>
        <v>0</v>
      </c>
      <c r="J33" s="351">
        <f t="shared" si="6"/>
        <v>0</v>
      </c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  <c r="IL33" s="206"/>
      <c r="IM33" s="206"/>
      <c r="IN33" s="206"/>
    </row>
    <row r="34" spans="1:248" ht="15.75" customHeight="1">
      <c r="A34" s="218"/>
      <c r="B34" s="222" t="s">
        <v>556</v>
      </c>
      <c r="C34" s="318"/>
      <c r="D34" s="318">
        <f t="shared" si="7"/>
        <v>0</v>
      </c>
      <c r="E34" s="318">
        <v>0.81</v>
      </c>
      <c r="F34" s="320">
        <f t="shared" si="4"/>
        <v>0.8710988750994774</v>
      </c>
      <c r="G34" s="366" t="e">
        <f t="shared" si="2"/>
        <v>#DIV/0!</v>
      </c>
      <c r="H34" s="367" t="e">
        <f t="shared" si="3"/>
        <v>#DIV/0!</v>
      </c>
      <c r="I34" s="351">
        <f t="shared" si="5"/>
        <v>0</v>
      </c>
      <c r="J34" s="351">
        <f t="shared" si="6"/>
        <v>0.556280475242085</v>
      </c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  <c r="HY34" s="206"/>
      <c r="HZ34" s="206"/>
      <c r="IA34" s="206"/>
      <c r="IB34" s="206"/>
      <c r="IC34" s="206"/>
      <c r="ID34" s="206"/>
      <c r="IE34" s="206"/>
      <c r="IF34" s="206"/>
      <c r="IG34" s="206"/>
      <c r="IH34" s="206"/>
      <c r="II34" s="206"/>
      <c r="IJ34" s="206"/>
      <c r="IK34" s="206"/>
      <c r="IL34" s="206"/>
      <c r="IM34" s="206"/>
      <c r="IN34" s="206"/>
    </row>
    <row r="35" spans="1:248" ht="18" customHeight="1">
      <c r="A35" s="218"/>
      <c r="B35" s="221" t="s">
        <v>482</v>
      </c>
      <c r="C35" s="318">
        <f>31.81*0.894</f>
        <v>28.43814</v>
      </c>
      <c r="D35" s="318">
        <f t="shared" si="7"/>
        <v>23.344393367263176</v>
      </c>
      <c r="E35" s="318">
        <v>15.9</v>
      </c>
      <c r="F35" s="320">
        <f t="shared" si="4"/>
        <v>17.09934828898974</v>
      </c>
      <c r="G35" s="217">
        <f t="shared" si="2"/>
        <v>55.910829611219306</v>
      </c>
      <c r="H35" s="216">
        <f t="shared" si="3"/>
        <v>73.24820148451094</v>
      </c>
      <c r="I35" s="351">
        <f t="shared" si="5"/>
        <v>20.087790232457213</v>
      </c>
      <c r="J35" s="351">
        <f t="shared" si="6"/>
        <v>10.919579699196483</v>
      </c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  <c r="IH35" s="206"/>
      <c r="II35" s="206"/>
      <c r="IJ35" s="206"/>
      <c r="IK35" s="206"/>
      <c r="IL35" s="206"/>
      <c r="IM35" s="206"/>
      <c r="IN35" s="206"/>
    </row>
    <row r="36" spans="1:248" ht="17.25" customHeight="1" thickBot="1">
      <c r="A36" s="223"/>
      <c r="B36" s="249" t="s">
        <v>557</v>
      </c>
      <c r="C36" s="326">
        <f>34.72+35.76*0.894</f>
        <v>66.68943999999999</v>
      </c>
      <c r="D36" s="318">
        <f t="shared" si="7"/>
        <v>54.74424560827449</v>
      </c>
      <c r="E36" s="326">
        <f>21.06+0.1</f>
        <v>21.16</v>
      </c>
      <c r="F36" s="320">
        <f t="shared" si="4"/>
        <v>22.756113823586347</v>
      </c>
      <c r="G36" s="250">
        <f t="shared" si="2"/>
        <v>31.72916131849361</v>
      </c>
      <c r="H36" s="258">
        <f t="shared" si="3"/>
        <v>41.56804714493463</v>
      </c>
      <c r="I36" s="351">
        <f t="shared" si="5"/>
        <v>47.107282031808026</v>
      </c>
      <c r="J36" s="351">
        <f t="shared" si="6"/>
        <v>14.531968958175948</v>
      </c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206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  <c r="GQ36" s="206"/>
      <c r="GR36" s="206"/>
      <c r="GS36" s="206"/>
      <c r="GT36" s="206"/>
      <c r="GU36" s="206"/>
      <c r="GV36" s="206"/>
      <c r="GW36" s="206"/>
      <c r="GX36" s="206"/>
      <c r="GY36" s="206"/>
      <c r="GZ36" s="206"/>
      <c r="HA36" s="206"/>
      <c r="HB36" s="206"/>
      <c r="HC36" s="206"/>
      <c r="HD36" s="206"/>
      <c r="HE36" s="206"/>
      <c r="HF36" s="206"/>
      <c r="HG36" s="206"/>
      <c r="HH36" s="206"/>
      <c r="HI36" s="206"/>
      <c r="HJ36" s="206"/>
      <c r="HK36" s="206"/>
      <c r="HL36" s="206"/>
      <c r="HM36" s="206"/>
      <c r="HN36" s="206"/>
      <c r="HO36" s="206"/>
      <c r="HP36" s="206"/>
      <c r="HQ36" s="206"/>
      <c r="HR36" s="206"/>
      <c r="HS36" s="206"/>
      <c r="HT36" s="206"/>
      <c r="HU36" s="206"/>
      <c r="HV36" s="206"/>
      <c r="HW36" s="206"/>
      <c r="HX36" s="206"/>
      <c r="HY36" s="206"/>
      <c r="HZ36" s="206"/>
      <c r="IA36" s="206"/>
      <c r="IB36" s="206"/>
      <c r="IC36" s="206"/>
      <c r="ID36" s="206"/>
      <c r="IE36" s="206"/>
      <c r="IF36" s="206"/>
      <c r="IG36" s="206"/>
      <c r="IH36" s="206"/>
      <c r="II36" s="206"/>
      <c r="IJ36" s="206"/>
      <c r="IK36" s="206"/>
      <c r="IL36" s="206"/>
      <c r="IM36" s="206"/>
      <c r="IN36" s="206"/>
    </row>
    <row r="37" spans="1:248" ht="29.25" customHeight="1" thickBot="1">
      <c r="A37" s="224" t="s">
        <v>483</v>
      </c>
      <c r="B37" s="225" t="s">
        <v>484</v>
      </c>
      <c r="C37" s="327">
        <f>C38+C56+C59+C68</f>
        <v>794.219586</v>
      </c>
      <c r="D37" s="328">
        <f t="shared" si="7"/>
        <v>651.9615711705795</v>
      </c>
      <c r="E37" s="327">
        <f>E38+E56+E59+E68</f>
        <v>868.3979826</v>
      </c>
      <c r="F37" s="311">
        <f t="shared" si="4"/>
        <v>933.9018589895253</v>
      </c>
      <c r="G37" s="251">
        <f t="shared" si="2"/>
        <v>109.33978435026907</v>
      </c>
      <c r="H37" s="211">
        <f t="shared" si="3"/>
        <v>143.24492428483623</v>
      </c>
      <c r="I37" s="353">
        <f>C37/$C$98*100</f>
        <v>22.583144730765177</v>
      </c>
      <c r="J37" s="353">
        <f>E37/$E$98*100</f>
        <v>34.11130069218</v>
      </c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  <c r="GG37" s="226"/>
      <c r="GH37" s="226"/>
      <c r="GI37" s="226"/>
      <c r="GJ37" s="226"/>
      <c r="GK37" s="226"/>
      <c r="GL37" s="226"/>
      <c r="GM37" s="226"/>
      <c r="GN37" s="226"/>
      <c r="GO37" s="226"/>
      <c r="GP37" s="226"/>
      <c r="GQ37" s="226"/>
      <c r="GR37" s="226"/>
      <c r="GS37" s="226"/>
      <c r="GT37" s="226"/>
      <c r="GU37" s="226"/>
      <c r="GV37" s="226"/>
      <c r="GW37" s="226"/>
      <c r="GX37" s="226"/>
      <c r="GY37" s="226"/>
      <c r="GZ37" s="226"/>
      <c r="HA37" s="226"/>
      <c r="HB37" s="226"/>
      <c r="HC37" s="226"/>
      <c r="HD37" s="226"/>
      <c r="HE37" s="226"/>
      <c r="HF37" s="226"/>
      <c r="HG37" s="226"/>
      <c r="HH37" s="226"/>
      <c r="HI37" s="226"/>
      <c r="HJ37" s="226"/>
      <c r="HK37" s="226"/>
      <c r="HL37" s="226"/>
      <c r="HM37" s="226"/>
      <c r="HN37" s="226"/>
      <c r="HO37" s="226"/>
      <c r="HP37" s="226"/>
      <c r="HQ37" s="226"/>
      <c r="HR37" s="226"/>
      <c r="HS37" s="226"/>
      <c r="HT37" s="226"/>
      <c r="HU37" s="226"/>
      <c r="HV37" s="226"/>
      <c r="HW37" s="226"/>
      <c r="HX37" s="226"/>
      <c r="HY37" s="226"/>
      <c r="HZ37" s="226"/>
      <c r="IA37" s="226"/>
      <c r="IB37" s="226"/>
      <c r="IC37" s="226"/>
      <c r="ID37" s="226"/>
      <c r="IE37" s="226"/>
      <c r="IF37" s="226"/>
      <c r="IG37" s="226"/>
      <c r="IH37" s="226"/>
      <c r="II37" s="226"/>
      <c r="IJ37" s="226"/>
      <c r="IK37" s="226"/>
      <c r="IL37" s="226"/>
      <c r="IM37" s="226"/>
      <c r="IN37" s="226"/>
    </row>
    <row r="38" spans="1:10" ht="20.25" customHeight="1">
      <c r="A38" s="212" t="s">
        <v>485</v>
      </c>
      <c r="B38" s="252" t="s">
        <v>558</v>
      </c>
      <c r="C38" s="313">
        <f>C46*C49/1000</f>
        <v>355.336472</v>
      </c>
      <c r="D38" s="318">
        <f t="shared" si="7"/>
        <v>291.68976522738467</v>
      </c>
      <c r="E38" s="313">
        <f>E46*E49/1000</f>
        <v>485.1190916</v>
      </c>
      <c r="F38" s="320">
        <f t="shared" si="4"/>
        <v>521.71196911363</v>
      </c>
      <c r="G38" s="214">
        <f t="shared" si="2"/>
        <v>136.52386676479412</v>
      </c>
      <c r="H38" s="215">
        <f t="shared" si="3"/>
        <v>178.8585104132581</v>
      </c>
      <c r="I38" s="351">
        <f>C38/$C$98*100</f>
        <v>10.103773712897942</v>
      </c>
      <c r="J38" s="351">
        <f>E38/$E$98*100</f>
        <v>19.05582870602677</v>
      </c>
    </row>
    <row r="39" spans="1:248" ht="25.5" customHeight="1">
      <c r="A39" s="476"/>
      <c r="B39" s="219" t="s">
        <v>486</v>
      </c>
      <c r="C39" s="317">
        <v>171</v>
      </c>
      <c r="D39" s="318"/>
      <c r="E39" s="319">
        <f>E48*0.76/E107*1000</f>
        <v>312.6930935839804</v>
      </c>
      <c r="F39" s="320"/>
      <c r="G39" s="217">
        <f t="shared" si="2"/>
        <v>182.86145823624585</v>
      </c>
      <c r="H39" s="216"/>
      <c r="I39" s="354"/>
      <c r="J39" s="354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  <c r="GQ39" s="206"/>
      <c r="GR39" s="206"/>
      <c r="GS39" s="206"/>
      <c r="GT39" s="206"/>
      <c r="GU39" s="206"/>
      <c r="GV39" s="206"/>
      <c r="GW39" s="206"/>
      <c r="GX39" s="206"/>
      <c r="GY39" s="206"/>
      <c r="GZ39" s="206"/>
      <c r="HA39" s="206"/>
      <c r="HB39" s="206"/>
      <c r="HC39" s="206"/>
      <c r="HD39" s="206"/>
      <c r="HE39" s="206"/>
      <c r="HF39" s="206"/>
      <c r="HG39" s="206"/>
      <c r="HH39" s="206"/>
      <c r="HI39" s="206"/>
      <c r="HJ39" s="206"/>
      <c r="HK39" s="206"/>
      <c r="HL39" s="206"/>
      <c r="HM39" s="206"/>
      <c r="HN39" s="206"/>
      <c r="HO39" s="206"/>
      <c r="HP39" s="206"/>
      <c r="HQ39" s="206"/>
      <c r="HR39" s="206"/>
      <c r="HS39" s="206"/>
      <c r="HT39" s="206"/>
      <c r="HU39" s="206"/>
      <c r="HV39" s="206"/>
      <c r="HW39" s="206"/>
      <c r="HX39" s="206"/>
      <c r="HY39" s="206"/>
      <c r="HZ39" s="206"/>
      <c r="IA39" s="206"/>
      <c r="IB39" s="206"/>
      <c r="IC39" s="206"/>
      <c r="ID39" s="206"/>
      <c r="IE39" s="206"/>
      <c r="IF39" s="206"/>
      <c r="IG39" s="206"/>
      <c r="IH39" s="206"/>
      <c r="II39" s="206"/>
      <c r="IJ39" s="206"/>
      <c r="IK39" s="206"/>
      <c r="IL39" s="206"/>
      <c r="IM39" s="206"/>
      <c r="IN39" s="206"/>
    </row>
    <row r="40" spans="1:248" ht="16.5" customHeight="1">
      <c r="A40" s="477"/>
      <c r="B40" s="219" t="s">
        <v>487</v>
      </c>
      <c r="C40" s="317"/>
      <c r="D40" s="329"/>
      <c r="E40" s="319"/>
      <c r="F40" s="320"/>
      <c r="G40" s="371" t="e">
        <f t="shared" si="2"/>
        <v>#DIV/0!</v>
      </c>
      <c r="H40" s="216"/>
      <c r="I40" s="355"/>
      <c r="J40" s="355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206"/>
      <c r="HX40" s="206"/>
      <c r="HY40" s="206"/>
      <c r="HZ40" s="206"/>
      <c r="IA40" s="206"/>
      <c r="IB40" s="206"/>
      <c r="IC40" s="206"/>
      <c r="ID40" s="206"/>
      <c r="IE40" s="206"/>
      <c r="IF40" s="206"/>
      <c r="IG40" s="206"/>
      <c r="IH40" s="206"/>
      <c r="II40" s="206"/>
      <c r="IJ40" s="206"/>
      <c r="IK40" s="206"/>
      <c r="IL40" s="206"/>
      <c r="IM40" s="206"/>
      <c r="IN40" s="206"/>
    </row>
    <row r="41" spans="1:248" ht="15">
      <c r="A41" s="477"/>
      <c r="B41" s="219" t="s">
        <v>559</v>
      </c>
      <c r="C41" s="317"/>
      <c r="D41" s="329"/>
      <c r="E41" s="319"/>
      <c r="F41" s="320"/>
      <c r="G41" s="371" t="e">
        <f t="shared" si="2"/>
        <v>#DIV/0!</v>
      </c>
      <c r="H41" s="216"/>
      <c r="I41" s="355"/>
      <c r="J41" s="355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6"/>
      <c r="HG41" s="206"/>
      <c r="HH41" s="206"/>
      <c r="HI41" s="206"/>
      <c r="HJ41" s="206"/>
      <c r="HK41" s="206"/>
      <c r="HL41" s="206"/>
      <c r="HM41" s="206"/>
      <c r="HN41" s="206"/>
      <c r="HO41" s="206"/>
      <c r="HP41" s="206"/>
      <c r="HQ41" s="206"/>
      <c r="HR41" s="206"/>
      <c r="HS41" s="206"/>
      <c r="HT41" s="206"/>
      <c r="HU41" s="206"/>
      <c r="HV41" s="206"/>
      <c r="HW41" s="206"/>
      <c r="HX41" s="206"/>
      <c r="HY41" s="206"/>
      <c r="HZ41" s="206"/>
      <c r="IA41" s="206"/>
      <c r="IB41" s="206"/>
      <c r="IC41" s="206"/>
      <c r="ID41" s="206"/>
      <c r="IE41" s="206"/>
      <c r="IF41" s="206"/>
      <c r="IG41" s="206"/>
      <c r="IH41" s="206"/>
      <c r="II41" s="206"/>
      <c r="IJ41" s="206"/>
      <c r="IK41" s="206"/>
      <c r="IL41" s="206"/>
      <c r="IM41" s="206"/>
      <c r="IN41" s="206"/>
    </row>
    <row r="42" spans="1:248" ht="17.25" customHeight="1">
      <c r="A42" s="477"/>
      <c r="B42" s="219" t="s">
        <v>560</v>
      </c>
      <c r="C42" s="317">
        <v>5350</v>
      </c>
      <c r="D42" s="329"/>
      <c r="E42" s="319">
        <v>5350</v>
      </c>
      <c r="F42" s="320"/>
      <c r="G42" s="217">
        <f t="shared" si="2"/>
        <v>100</v>
      </c>
      <c r="H42" s="216"/>
      <c r="I42" s="355"/>
      <c r="J42" s="355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B42" s="206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  <c r="GQ42" s="206"/>
      <c r="GR42" s="206"/>
      <c r="GS42" s="206"/>
      <c r="GT42" s="206"/>
      <c r="GU42" s="206"/>
      <c r="GV42" s="206"/>
      <c r="GW42" s="206"/>
      <c r="GX42" s="206"/>
      <c r="GY42" s="206"/>
      <c r="GZ42" s="206"/>
      <c r="HA42" s="206"/>
      <c r="HB42" s="206"/>
      <c r="HC42" s="206"/>
      <c r="HD42" s="206"/>
      <c r="HE42" s="206"/>
      <c r="HF42" s="206"/>
      <c r="HG42" s="206"/>
      <c r="HH42" s="206"/>
      <c r="HI42" s="206"/>
      <c r="HJ42" s="206"/>
      <c r="HK42" s="206"/>
      <c r="HL42" s="206"/>
      <c r="HM42" s="206"/>
      <c r="HN42" s="206"/>
      <c r="HO42" s="206"/>
      <c r="HP42" s="206"/>
      <c r="HQ42" s="206"/>
      <c r="HR42" s="206"/>
      <c r="HS42" s="206"/>
      <c r="HT42" s="206"/>
      <c r="HU42" s="206"/>
      <c r="HV42" s="206"/>
      <c r="HW42" s="206"/>
      <c r="HX42" s="206"/>
      <c r="HY42" s="206"/>
      <c r="HZ42" s="206"/>
      <c r="IA42" s="206"/>
      <c r="IB42" s="206"/>
      <c r="IC42" s="206"/>
      <c r="ID42" s="206"/>
      <c r="IE42" s="206"/>
      <c r="IF42" s="206"/>
      <c r="IG42" s="206"/>
      <c r="IH42" s="206"/>
      <c r="II42" s="206"/>
      <c r="IJ42" s="206"/>
      <c r="IK42" s="206"/>
      <c r="IL42" s="206"/>
      <c r="IM42" s="206"/>
      <c r="IN42" s="206"/>
    </row>
    <row r="43" spans="1:248" ht="16.5" customHeight="1">
      <c r="A43" s="477"/>
      <c r="B43" s="219" t="s">
        <v>295</v>
      </c>
      <c r="C43" s="317"/>
      <c r="D43" s="318"/>
      <c r="E43" s="319"/>
      <c r="F43" s="320"/>
      <c r="G43" s="371" t="e">
        <f t="shared" si="2"/>
        <v>#DIV/0!</v>
      </c>
      <c r="H43" s="216"/>
      <c r="I43" s="355"/>
      <c r="J43" s="355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06"/>
      <c r="HJ43" s="206"/>
      <c r="HK43" s="206"/>
      <c r="HL43" s="206"/>
      <c r="HM43" s="206"/>
      <c r="HN43" s="206"/>
      <c r="HO43" s="206"/>
      <c r="HP43" s="206"/>
      <c r="HQ43" s="206"/>
      <c r="HR43" s="206"/>
      <c r="HS43" s="206"/>
      <c r="HT43" s="206"/>
      <c r="HU43" s="206"/>
      <c r="HV43" s="206"/>
      <c r="HW43" s="206"/>
      <c r="HX43" s="206"/>
      <c r="HY43" s="206"/>
      <c r="HZ43" s="206"/>
      <c r="IA43" s="206"/>
      <c r="IB43" s="206"/>
      <c r="IC43" s="206"/>
      <c r="ID43" s="206"/>
      <c r="IE43" s="206"/>
      <c r="IF43" s="206"/>
      <c r="IG43" s="206"/>
      <c r="IH43" s="206"/>
      <c r="II43" s="206"/>
      <c r="IJ43" s="206"/>
      <c r="IK43" s="206"/>
      <c r="IL43" s="206"/>
      <c r="IM43" s="206"/>
      <c r="IN43" s="206"/>
    </row>
    <row r="44" spans="1:248" ht="15">
      <c r="A44" s="477"/>
      <c r="B44" s="219" t="s">
        <v>559</v>
      </c>
      <c r="C44" s="317"/>
      <c r="D44" s="318"/>
      <c r="E44" s="319"/>
      <c r="F44" s="320"/>
      <c r="G44" s="371" t="e">
        <f t="shared" si="2"/>
        <v>#DIV/0!</v>
      </c>
      <c r="H44" s="216"/>
      <c r="I44" s="355"/>
      <c r="J44" s="355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  <c r="IJ44" s="206"/>
      <c r="IK44" s="206"/>
      <c r="IL44" s="206"/>
      <c r="IM44" s="206"/>
      <c r="IN44" s="206"/>
    </row>
    <row r="45" spans="1:248" ht="17.25" customHeight="1">
      <c r="A45" s="477"/>
      <c r="B45" s="219" t="s">
        <v>560</v>
      </c>
      <c r="C45" s="317">
        <v>0.76</v>
      </c>
      <c r="D45" s="318"/>
      <c r="E45" s="319">
        <v>0.76</v>
      </c>
      <c r="F45" s="320"/>
      <c r="G45" s="217">
        <f t="shared" si="2"/>
        <v>100</v>
      </c>
      <c r="H45" s="216"/>
      <c r="I45" s="355"/>
      <c r="J45" s="355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  <c r="GQ45" s="206"/>
      <c r="GR45" s="206"/>
      <c r="GS45" s="206"/>
      <c r="GT45" s="206"/>
      <c r="GU45" s="206"/>
      <c r="GV45" s="206"/>
      <c r="GW45" s="206"/>
      <c r="GX45" s="206"/>
      <c r="GY45" s="206"/>
      <c r="GZ45" s="206"/>
      <c r="HA45" s="206"/>
      <c r="HB45" s="206"/>
      <c r="HC45" s="206"/>
      <c r="HD45" s="206"/>
      <c r="HE45" s="206"/>
      <c r="HF45" s="206"/>
      <c r="HG45" s="206"/>
      <c r="HH45" s="206"/>
      <c r="HI45" s="206"/>
      <c r="HJ45" s="206"/>
      <c r="HK45" s="206"/>
      <c r="HL45" s="206"/>
      <c r="HM45" s="206"/>
      <c r="HN45" s="206"/>
      <c r="HO45" s="206"/>
      <c r="HP45" s="206"/>
      <c r="HQ45" s="206"/>
      <c r="HR45" s="206"/>
      <c r="HS45" s="206"/>
      <c r="HT45" s="206"/>
      <c r="HU45" s="206"/>
      <c r="HV45" s="206"/>
      <c r="HW45" s="206"/>
      <c r="HX45" s="206"/>
      <c r="HY45" s="206"/>
      <c r="HZ45" s="206"/>
      <c r="IA45" s="206"/>
      <c r="IB45" s="206"/>
      <c r="IC45" s="206"/>
      <c r="ID45" s="206"/>
      <c r="IE45" s="206"/>
      <c r="IF45" s="206"/>
      <c r="IG45" s="206"/>
      <c r="IH45" s="206"/>
      <c r="II45" s="206"/>
      <c r="IJ45" s="206"/>
      <c r="IK45" s="206"/>
      <c r="IL45" s="206"/>
      <c r="IM45" s="206"/>
      <c r="IN45" s="206"/>
    </row>
    <row r="46" spans="1:248" ht="16.5" customHeight="1">
      <c r="A46" s="477"/>
      <c r="B46" s="219" t="s">
        <v>561</v>
      </c>
      <c r="C46" s="318">
        <f>C47+C48</f>
        <v>272.56</v>
      </c>
      <c r="D46" s="318">
        <f>C46*1000/C107/1000</f>
        <v>0.2237399441799376</v>
      </c>
      <c r="E46" s="318">
        <f>E47+E48</f>
        <v>382.58</v>
      </c>
      <c r="F46" s="320">
        <f>E46*1000/E107/1000</f>
        <v>0.4114382810315531</v>
      </c>
      <c r="G46" s="217">
        <f t="shared" si="2"/>
        <v>140.36542412679776</v>
      </c>
      <c r="H46" s="216">
        <f t="shared" si="3"/>
        <v>183.8912951103016</v>
      </c>
      <c r="I46" s="355"/>
      <c r="J46" s="355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6"/>
      <c r="HG46" s="206"/>
      <c r="HH46" s="206"/>
      <c r="HI46" s="206"/>
      <c r="HJ46" s="206"/>
      <c r="HK46" s="206"/>
      <c r="HL46" s="206"/>
      <c r="HM46" s="206"/>
      <c r="HN46" s="206"/>
      <c r="HO46" s="206"/>
      <c r="HP46" s="206"/>
      <c r="HQ46" s="206"/>
      <c r="HR46" s="206"/>
      <c r="HS46" s="206"/>
      <c r="HT46" s="206"/>
      <c r="HU46" s="206"/>
      <c r="HV46" s="206"/>
      <c r="HW46" s="206"/>
      <c r="HX46" s="206"/>
      <c r="HY46" s="206"/>
      <c r="HZ46" s="206"/>
      <c r="IA46" s="206"/>
      <c r="IB46" s="206"/>
      <c r="IC46" s="206"/>
      <c r="ID46" s="206"/>
      <c r="IE46" s="206"/>
      <c r="IF46" s="206"/>
      <c r="IG46" s="206"/>
      <c r="IH46" s="206"/>
      <c r="II46" s="206"/>
      <c r="IJ46" s="206"/>
      <c r="IK46" s="206"/>
      <c r="IL46" s="206"/>
      <c r="IM46" s="206"/>
      <c r="IN46" s="206"/>
    </row>
    <row r="47" spans="1:248" ht="15">
      <c r="A47" s="477"/>
      <c r="B47" s="219" t="s">
        <v>559</v>
      </c>
      <c r="C47" s="318"/>
      <c r="D47" s="318"/>
      <c r="E47" s="323"/>
      <c r="F47" s="320"/>
      <c r="G47" s="366" t="e">
        <f t="shared" si="2"/>
        <v>#DIV/0!</v>
      </c>
      <c r="H47" s="216"/>
      <c r="I47" s="355"/>
      <c r="J47" s="355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6"/>
      <c r="HG47" s="206"/>
      <c r="HH47" s="206"/>
      <c r="HI47" s="206"/>
      <c r="HJ47" s="206"/>
      <c r="HK47" s="206"/>
      <c r="HL47" s="206"/>
      <c r="HM47" s="206"/>
      <c r="HN47" s="206"/>
      <c r="HO47" s="206"/>
      <c r="HP47" s="206"/>
      <c r="HQ47" s="206"/>
      <c r="HR47" s="206"/>
      <c r="HS47" s="206"/>
      <c r="HT47" s="206"/>
      <c r="HU47" s="206"/>
      <c r="HV47" s="206"/>
      <c r="HW47" s="206"/>
      <c r="HX47" s="206"/>
      <c r="HY47" s="206"/>
      <c r="HZ47" s="206"/>
      <c r="IA47" s="206"/>
      <c r="IB47" s="206"/>
      <c r="IC47" s="206"/>
      <c r="ID47" s="206"/>
      <c r="IE47" s="206"/>
      <c r="IF47" s="206"/>
      <c r="IG47" s="206"/>
      <c r="IH47" s="206"/>
      <c r="II47" s="206"/>
      <c r="IJ47" s="206"/>
      <c r="IK47" s="206"/>
      <c r="IL47" s="206"/>
      <c r="IM47" s="206"/>
      <c r="IN47" s="206"/>
    </row>
    <row r="48" spans="1:248" ht="15.75" customHeight="1">
      <c r="A48" s="477"/>
      <c r="B48" s="219" t="s">
        <v>560</v>
      </c>
      <c r="C48" s="318">
        <v>272.56</v>
      </c>
      <c r="D48" s="318"/>
      <c r="E48" s="323">
        <v>382.58</v>
      </c>
      <c r="F48" s="320"/>
      <c r="G48" s="217">
        <f t="shared" si="2"/>
        <v>140.36542412679776</v>
      </c>
      <c r="H48" s="216"/>
      <c r="I48" s="355"/>
      <c r="J48" s="355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  <c r="FH48" s="206"/>
      <c r="FI48" s="206"/>
      <c r="FJ48" s="206"/>
      <c r="FK48" s="206"/>
      <c r="FL48" s="206"/>
      <c r="FM48" s="206"/>
      <c r="FN48" s="206"/>
      <c r="FO48" s="206"/>
      <c r="FP48" s="206"/>
      <c r="FQ48" s="206"/>
      <c r="FR48" s="206"/>
      <c r="FS48" s="206"/>
      <c r="FT48" s="206"/>
      <c r="FU48" s="206"/>
      <c r="FV48" s="206"/>
      <c r="FW48" s="206"/>
      <c r="FX48" s="206"/>
      <c r="FY48" s="206"/>
      <c r="FZ48" s="206"/>
      <c r="GA48" s="206"/>
      <c r="GB48" s="206"/>
      <c r="GC48" s="206"/>
      <c r="GD48" s="206"/>
      <c r="GE48" s="206"/>
      <c r="GF48" s="206"/>
      <c r="GG48" s="206"/>
      <c r="GH48" s="206"/>
      <c r="GI48" s="206"/>
      <c r="GJ48" s="206"/>
      <c r="GK48" s="206"/>
      <c r="GL48" s="206"/>
      <c r="GM48" s="206"/>
      <c r="GN48" s="206"/>
      <c r="GO48" s="206"/>
      <c r="GP48" s="206"/>
      <c r="GQ48" s="206"/>
      <c r="GR48" s="206"/>
      <c r="GS48" s="206"/>
      <c r="GT48" s="206"/>
      <c r="GU48" s="206"/>
      <c r="GV48" s="206"/>
      <c r="GW48" s="206"/>
      <c r="GX48" s="206"/>
      <c r="GY48" s="206"/>
      <c r="GZ48" s="206"/>
      <c r="HA48" s="206"/>
      <c r="HB48" s="206"/>
      <c r="HC48" s="206"/>
      <c r="HD48" s="206"/>
      <c r="HE48" s="206"/>
      <c r="HF48" s="206"/>
      <c r="HG48" s="206"/>
      <c r="HH48" s="206"/>
      <c r="HI48" s="206"/>
      <c r="HJ48" s="206"/>
      <c r="HK48" s="206"/>
      <c r="HL48" s="206"/>
      <c r="HM48" s="206"/>
      <c r="HN48" s="206"/>
      <c r="HO48" s="206"/>
      <c r="HP48" s="206"/>
      <c r="HQ48" s="206"/>
      <c r="HR48" s="206"/>
      <c r="HS48" s="206"/>
      <c r="HT48" s="206"/>
      <c r="HU48" s="206"/>
      <c r="HV48" s="206"/>
      <c r="HW48" s="206"/>
      <c r="HX48" s="206"/>
      <c r="HY48" s="206"/>
      <c r="HZ48" s="206"/>
      <c r="IA48" s="206"/>
      <c r="IB48" s="206"/>
      <c r="IC48" s="206"/>
      <c r="ID48" s="206"/>
      <c r="IE48" s="206"/>
      <c r="IF48" s="206"/>
      <c r="IG48" s="206"/>
      <c r="IH48" s="206"/>
      <c r="II48" s="206"/>
      <c r="IJ48" s="206"/>
      <c r="IK48" s="206"/>
      <c r="IL48" s="206"/>
      <c r="IM48" s="206"/>
      <c r="IN48" s="206"/>
    </row>
    <row r="49" spans="1:248" ht="26.25" customHeight="1">
      <c r="A49" s="477"/>
      <c r="B49" s="219" t="s">
        <v>488</v>
      </c>
      <c r="C49" s="317">
        <f>C51</f>
        <v>1303.7</v>
      </c>
      <c r="D49" s="318"/>
      <c r="E49" s="319">
        <f>E51</f>
        <v>1268.02</v>
      </c>
      <c r="F49" s="320"/>
      <c r="G49" s="217">
        <f t="shared" si="2"/>
        <v>97.26317404310807</v>
      </c>
      <c r="H49" s="216"/>
      <c r="I49" s="355"/>
      <c r="J49" s="355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206"/>
      <c r="FK49" s="206"/>
      <c r="FL49" s="206"/>
      <c r="FM49" s="206"/>
      <c r="FN49" s="206"/>
      <c r="FO49" s="206"/>
      <c r="FP49" s="206"/>
      <c r="FQ49" s="206"/>
      <c r="FR49" s="206"/>
      <c r="FS49" s="206"/>
      <c r="FT49" s="206"/>
      <c r="FU49" s="206"/>
      <c r="FV49" s="206"/>
      <c r="FW49" s="206"/>
      <c r="FX49" s="206"/>
      <c r="FY49" s="206"/>
      <c r="FZ49" s="206"/>
      <c r="GA49" s="206"/>
      <c r="GB49" s="206"/>
      <c r="GC49" s="206"/>
      <c r="GD49" s="206"/>
      <c r="GE49" s="206"/>
      <c r="GF49" s="206"/>
      <c r="GG49" s="206"/>
      <c r="GH49" s="206"/>
      <c r="GI49" s="206"/>
      <c r="GJ49" s="206"/>
      <c r="GK49" s="206"/>
      <c r="GL49" s="206"/>
      <c r="GM49" s="206"/>
      <c r="GN49" s="206"/>
      <c r="GO49" s="206"/>
      <c r="GP49" s="206"/>
      <c r="GQ49" s="206"/>
      <c r="GR49" s="206"/>
      <c r="GS49" s="206"/>
      <c r="GT49" s="206"/>
      <c r="GU49" s="206"/>
      <c r="GV49" s="206"/>
      <c r="GW49" s="206"/>
      <c r="GX49" s="206"/>
      <c r="GY49" s="206"/>
      <c r="GZ49" s="206"/>
      <c r="HA49" s="206"/>
      <c r="HB49" s="206"/>
      <c r="HC49" s="206"/>
      <c r="HD49" s="206"/>
      <c r="HE49" s="206"/>
      <c r="HF49" s="206"/>
      <c r="HG49" s="206"/>
      <c r="HH49" s="206"/>
      <c r="HI49" s="206"/>
      <c r="HJ49" s="206"/>
      <c r="HK49" s="206"/>
      <c r="HL49" s="206"/>
      <c r="HM49" s="206"/>
      <c r="HN49" s="206"/>
      <c r="HO49" s="206"/>
      <c r="HP49" s="206"/>
      <c r="HQ49" s="206"/>
      <c r="HR49" s="206"/>
      <c r="HS49" s="206"/>
      <c r="HT49" s="206"/>
      <c r="HU49" s="206"/>
      <c r="HV49" s="206"/>
      <c r="HW49" s="206"/>
      <c r="HX49" s="206"/>
      <c r="HY49" s="206"/>
      <c r="HZ49" s="206"/>
      <c r="IA49" s="206"/>
      <c r="IB49" s="206"/>
      <c r="IC49" s="206"/>
      <c r="ID49" s="206"/>
      <c r="IE49" s="206"/>
      <c r="IF49" s="206"/>
      <c r="IG49" s="206"/>
      <c r="IH49" s="206"/>
      <c r="II49" s="206"/>
      <c r="IJ49" s="206"/>
      <c r="IK49" s="206"/>
      <c r="IL49" s="206"/>
      <c r="IM49" s="206"/>
      <c r="IN49" s="206"/>
    </row>
    <row r="50" spans="1:248" ht="15">
      <c r="A50" s="477"/>
      <c r="B50" s="219" t="s">
        <v>559</v>
      </c>
      <c r="C50" s="317">
        <f>C53</f>
        <v>0</v>
      </c>
      <c r="D50" s="318"/>
      <c r="E50" s="317">
        <f>E53</f>
        <v>0</v>
      </c>
      <c r="F50" s="320"/>
      <c r="G50" s="366" t="e">
        <f t="shared" si="2"/>
        <v>#DIV/0!</v>
      </c>
      <c r="H50" s="216"/>
      <c r="I50" s="355"/>
      <c r="J50" s="355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6"/>
      <c r="FH50" s="206"/>
      <c r="FI50" s="206"/>
      <c r="FJ50" s="206"/>
      <c r="FK50" s="206"/>
      <c r="FL50" s="206"/>
      <c r="FM50" s="206"/>
      <c r="FN50" s="206"/>
      <c r="FO50" s="206"/>
      <c r="FP50" s="206"/>
      <c r="FQ50" s="206"/>
      <c r="FR50" s="206"/>
      <c r="FS50" s="206"/>
      <c r="FT50" s="206"/>
      <c r="FU50" s="206"/>
      <c r="FV50" s="206"/>
      <c r="FW50" s="206"/>
      <c r="FX50" s="206"/>
      <c r="FY50" s="206"/>
      <c r="FZ50" s="206"/>
      <c r="GA50" s="206"/>
      <c r="GB50" s="206"/>
      <c r="GC50" s="206"/>
      <c r="GD50" s="206"/>
      <c r="GE50" s="206"/>
      <c r="GF50" s="206"/>
      <c r="GG50" s="206"/>
      <c r="GH50" s="206"/>
      <c r="GI50" s="206"/>
      <c r="GJ50" s="206"/>
      <c r="GK50" s="206"/>
      <c r="GL50" s="206"/>
      <c r="GM50" s="206"/>
      <c r="GN50" s="206"/>
      <c r="GO50" s="206"/>
      <c r="GP50" s="206"/>
      <c r="GQ50" s="206"/>
      <c r="GR50" s="206"/>
      <c r="GS50" s="206"/>
      <c r="GT50" s="206"/>
      <c r="GU50" s="206"/>
      <c r="GV50" s="206"/>
      <c r="GW50" s="206"/>
      <c r="GX50" s="206"/>
      <c r="GY50" s="206"/>
      <c r="GZ50" s="206"/>
      <c r="HA50" s="206"/>
      <c r="HB50" s="206"/>
      <c r="HC50" s="206"/>
      <c r="HD50" s="206"/>
      <c r="HE50" s="206"/>
      <c r="HF50" s="206"/>
      <c r="HG50" s="206"/>
      <c r="HH50" s="206"/>
      <c r="HI50" s="206"/>
      <c r="HJ50" s="206"/>
      <c r="HK50" s="206"/>
      <c r="HL50" s="206"/>
      <c r="HM50" s="206"/>
      <c r="HN50" s="206"/>
      <c r="HO50" s="206"/>
      <c r="HP50" s="206"/>
      <c r="HQ50" s="206"/>
      <c r="HR50" s="206"/>
      <c r="HS50" s="206"/>
      <c r="HT50" s="206"/>
      <c r="HU50" s="206"/>
      <c r="HV50" s="206"/>
      <c r="HW50" s="206"/>
      <c r="HX50" s="206"/>
      <c r="HY50" s="206"/>
      <c r="HZ50" s="206"/>
      <c r="IA50" s="206"/>
      <c r="IB50" s="206"/>
      <c r="IC50" s="206"/>
      <c r="ID50" s="206"/>
      <c r="IE50" s="206"/>
      <c r="IF50" s="206"/>
      <c r="IG50" s="206"/>
      <c r="IH50" s="206"/>
      <c r="II50" s="206"/>
      <c r="IJ50" s="206"/>
      <c r="IK50" s="206"/>
      <c r="IL50" s="206"/>
      <c r="IM50" s="206"/>
      <c r="IN50" s="206"/>
    </row>
    <row r="51" spans="1:248" ht="15.75" customHeight="1">
      <c r="A51" s="477"/>
      <c r="B51" s="219" t="s">
        <v>560</v>
      </c>
      <c r="C51" s="317">
        <f>C54+C55</f>
        <v>1303.7</v>
      </c>
      <c r="D51" s="318"/>
      <c r="E51" s="317">
        <f>E54+E55</f>
        <v>1268.02</v>
      </c>
      <c r="F51" s="320"/>
      <c r="G51" s="217">
        <f t="shared" si="2"/>
        <v>97.26317404310807</v>
      </c>
      <c r="H51" s="216"/>
      <c r="I51" s="355"/>
      <c r="J51" s="355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6"/>
      <c r="FH51" s="206"/>
      <c r="FI51" s="206"/>
      <c r="FJ51" s="206"/>
      <c r="FK51" s="206"/>
      <c r="FL51" s="206"/>
      <c r="FM51" s="206"/>
      <c r="FN51" s="206"/>
      <c r="FO51" s="206"/>
      <c r="FP51" s="206"/>
      <c r="FQ51" s="206"/>
      <c r="FR51" s="206"/>
      <c r="FS51" s="206"/>
      <c r="FT51" s="206"/>
      <c r="FU51" s="206"/>
      <c r="FV51" s="206"/>
      <c r="FW51" s="206"/>
      <c r="FX51" s="206"/>
      <c r="FY51" s="206"/>
      <c r="FZ51" s="206"/>
      <c r="GA51" s="206"/>
      <c r="GB51" s="206"/>
      <c r="GC51" s="206"/>
      <c r="GD51" s="206"/>
      <c r="GE51" s="206"/>
      <c r="GF51" s="206"/>
      <c r="GG51" s="206"/>
      <c r="GH51" s="206"/>
      <c r="GI51" s="206"/>
      <c r="GJ51" s="206"/>
      <c r="GK51" s="206"/>
      <c r="GL51" s="206"/>
      <c r="GM51" s="206"/>
      <c r="GN51" s="206"/>
      <c r="GO51" s="206"/>
      <c r="GP51" s="206"/>
      <c r="GQ51" s="206"/>
      <c r="GR51" s="206"/>
      <c r="GS51" s="206"/>
      <c r="GT51" s="206"/>
      <c r="GU51" s="206"/>
      <c r="GV51" s="206"/>
      <c r="GW51" s="206"/>
      <c r="GX51" s="206"/>
      <c r="GY51" s="206"/>
      <c r="GZ51" s="206"/>
      <c r="HA51" s="206"/>
      <c r="HB51" s="206"/>
      <c r="HC51" s="206"/>
      <c r="HD51" s="206"/>
      <c r="HE51" s="206"/>
      <c r="HF51" s="206"/>
      <c r="HG51" s="206"/>
      <c r="HH51" s="206"/>
      <c r="HI51" s="206"/>
      <c r="HJ51" s="206"/>
      <c r="HK51" s="206"/>
      <c r="HL51" s="206"/>
      <c r="HM51" s="206"/>
      <c r="HN51" s="206"/>
      <c r="HO51" s="206"/>
      <c r="HP51" s="206"/>
      <c r="HQ51" s="206"/>
      <c r="HR51" s="206"/>
      <c r="HS51" s="206"/>
      <c r="HT51" s="206"/>
      <c r="HU51" s="206"/>
      <c r="HV51" s="206"/>
      <c r="HW51" s="206"/>
      <c r="HX51" s="206"/>
      <c r="HY51" s="206"/>
      <c r="HZ51" s="206"/>
      <c r="IA51" s="206"/>
      <c r="IB51" s="206"/>
      <c r="IC51" s="206"/>
      <c r="ID51" s="206"/>
      <c r="IE51" s="206"/>
      <c r="IF51" s="206"/>
      <c r="IG51" s="206"/>
      <c r="IH51" s="206"/>
      <c r="II51" s="206"/>
      <c r="IJ51" s="206"/>
      <c r="IK51" s="206"/>
      <c r="IL51" s="206"/>
      <c r="IM51" s="206"/>
      <c r="IN51" s="206"/>
    </row>
    <row r="52" spans="1:248" ht="16.5" customHeight="1">
      <c r="A52" s="477"/>
      <c r="B52" s="219" t="s">
        <v>489</v>
      </c>
      <c r="C52" s="317"/>
      <c r="D52" s="318"/>
      <c r="E52" s="319"/>
      <c r="F52" s="320"/>
      <c r="G52" s="366" t="e">
        <f t="shared" si="2"/>
        <v>#DIV/0!</v>
      </c>
      <c r="H52" s="216"/>
      <c r="I52" s="355"/>
      <c r="J52" s="355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6"/>
      <c r="FH52" s="206"/>
      <c r="FI52" s="206"/>
      <c r="FJ52" s="206"/>
      <c r="FK52" s="206"/>
      <c r="FL52" s="206"/>
      <c r="FM52" s="206"/>
      <c r="FN52" s="206"/>
      <c r="FO52" s="206"/>
      <c r="FP52" s="206"/>
      <c r="FQ52" s="206"/>
      <c r="FR52" s="206"/>
      <c r="FS52" s="206"/>
      <c r="FT52" s="206"/>
      <c r="FU52" s="206"/>
      <c r="FV52" s="206"/>
      <c r="FW52" s="206"/>
      <c r="FX52" s="206"/>
      <c r="FY52" s="206"/>
      <c r="FZ52" s="206"/>
      <c r="GA52" s="206"/>
      <c r="GB52" s="206"/>
      <c r="GC52" s="206"/>
      <c r="GD52" s="206"/>
      <c r="GE52" s="206"/>
      <c r="GF52" s="206"/>
      <c r="GG52" s="206"/>
      <c r="GH52" s="206"/>
      <c r="GI52" s="206"/>
      <c r="GJ52" s="206"/>
      <c r="GK52" s="206"/>
      <c r="GL52" s="206"/>
      <c r="GM52" s="206"/>
      <c r="GN52" s="206"/>
      <c r="GO52" s="206"/>
      <c r="GP52" s="206"/>
      <c r="GQ52" s="206"/>
      <c r="GR52" s="206"/>
      <c r="GS52" s="206"/>
      <c r="GT52" s="206"/>
      <c r="GU52" s="206"/>
      <c r="GV52" s="206"/>
      <c r="GW52" s="206"/>
      <c r="GX52" s="206"/>
      <c r="GY52" s="206"/>
      <c r="GZ52" s="206"/>
      <c r="HA52" s="206"/>
      <c r="HB52" s="206"/>
      <c r="HC52" s="206"/>
      <c r="HD52" s="206"/>
      <c r="HE52" s="206"/>
      <c r="HF52" s="206"/>
      <c r="HG52" s="206"/>
      <c r="HH52" s="206"/>
      <c r="HI52" s="206"/>
      <c r="HJ52" s="206"/>
      <c r="HK52" s="206"/>
      <c r="HL52" s="206"/>
      <c r="HM52" s="206"/>
      <c r="HN52" s="206"/>
      <c r="HO52" s="206"/>
      <c r="HP52" s="206"/>
      <c r="HQ52" s="206"/>
      <c r="HR52" s="206"/>
      <c r="HS52" s="206"/>
      <c r="HT52" s="206"/>
      <c r="HU52" s="206"/>
      <c r="HV52" s="206"/>
      <c r="HW52" s="206"/>
      <c r="HX52" s="206"/>
      <c r="HY52" s="206"/>
      <c r="HZ52" s="206"/>
      <c r="IA52" s="206"/>
      <c r="IB52" s="206"/>
      <c r="IC52" s="206"/>
      <c r="ID52" s="206"/>
      <c r="IE52" s="206"/>
      <c r="IF52" s="206"/>
      <c r="IG52" s="206"/>
      <c r="IH52" s="206"/>
      <c r="II52" s="206"/>
      <c r="IJ52" s="206"/>
      <c r="IK52" s="206"/>
      <c r="IL52" s="206"/>
      <c r="IM52" s="206"/>
      <c r="IN52" s="206"/>
    </row>
    <row r="53" spans="1:248" ht="15">
      <c r="A53" s="477"/>
      <c r="B53" s="219" t="s">
        <v>559</v>
      </c>
      <c r="C53" s="317"/>
      <c r="D53" s="318"/>
      <c r="E53" s="319"/>
      <c r="F53" s="320"/>
      <c r="G53" s="366" t="e">
        <f t="shared" si="2"/>
        <v>#DIV/0!</v>
      </c>
      <c r="H53" s="216"/>
      <c r="I53" s="355"/>
      <c r="J53" s="355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6"/>
      <c r="FF53" s="206"/>
      <c r="FG53" s="206"/>
      <c r="FH53" s="206"/>
      <c r="FI53" s="206"/>
      <c r="FJ53" s="206"/>
      <c r="FK53" s="206"/>
      <c r="FL53" s="206"/>
      <c r="FM53" s="206"/>
      <c r="FN53" s="206"/>
      <c r="FO53" s="206"/>
      <c r="FP53" s="206"/>
      <c r="FQ53" s="206"/>
      <c r="FR53" s="206"/>
      <c r="FS53" s="206"/>
      <c r="FT53" s="206"/>
      <c r="FU53" s="206"/>
      <c r="FV53" s="206"/>
      <c r="FW53" s="206"/>
      <c r="FX53" s="206"/>
      <c r="FY53" s="206"/>
      <c r="FZ53" s="206"/>
      <c r="GA53" s="206"/>
      <c r="GB53" s="206"/>
      <c r="GC53" s="206"/>
      <c r="GD53" s="206"/>
      <c r="GE53" s="206"/>
      <c r="GF53" s="206"/>
      <c r="GG53" s="206"/>
      <c r="GH53" s="206"/>
      <c r="GI53" s="206"/>
      <c r="GJ53" s="206"/>
      <c r="GK53" s="206"/>
      <c r="GL53" s="206"/>
      <c r="GM53" s="206"/>
      <c r="GN53" s="206"/>
      <c r="GO53" s="206"/>
      <c r="GP53" s="206"/>
      <c r="GQ53" s="206"/>
      <c r="GR53" s="206"/>
      <c r="GS53" s="206"/>
      <c r="GT53" s="206"/>
      <c r="GU53" s="206"/>
      <c r="GV53" s="206"/>
      <c r="GW53" s="206"/>
      <c r="GX53" s="206"/>
      <c r="GY53" s="206"/>
      <c r="GZ53" s="206"/>
      <c r="HA53" s="206"/>
      <c r="HB53" s="206"/>
      <c r="HC53" s="206"/>
      <c r="HD53" s="206"/>
      <c r="HE53" s="206"/>
      <c r="HF53" s="206"/>
      <c r="HG53" s="206"/>
      <c r="HH53" s="206"/>
      <c r="HI53" s="206"/>
      <c r="HJ53" s="206"/>
      <c r="HK53" s="206"/>
      <c r="HL53" s="206"/>
      <c r="HM53" s="206"/>
      <c r="HN53" s="206"/>
      <c r="HO53" s="206"/>
      <c r="HP53" s="206"/>
      <c r="HQ53" s="206"/>
      <c r="HR53" s="206"/>
      <c r="HS53" s="206"/>
      <c r="HT53" s="206"/>
      <c r="HU53" s="206"/>
      <c r="HV53" s="206"/>
      <c r="HW53" s="206"/>
      <c r="HX53" s="206"/>
      <c r="HY53" s="206"/>
      <c r="HZ53" s="206"/>
      <c r="IA53" s="206"/>
      <c r="IB53" s="206"/>
      <c r="IC53" s="206"/>
      <c r="ID53" s="206"/>
      <c r="IE53" s="206"/>
      <c r="IF53" s="206"/>
      <c r="IG53" s="206"/>
      <c r="IH53" s="206"/>
      <c r="II53" s="206"/>
      <c r="IJ53" s="206"/>
      <c r="IK53" s="206"/>
      <c r="IL53" s="206"/>
      <c r="IM53" s="206"/>
      <c r="IN53" s="206"/>
    </row>
    <row r="54" spans="1:248" ht="15.75" customHeight="1">
      <c r="A54" s="477"/>
      <c r="B54" s="219" t="s">
        <v>560</v>
      </c>
      <c r="C54" s="317">
        <v>1132.51</v>
      </c>
      <c r="D54" s="318"/>
      <c r="E54" s="319">
        <v>1079.29</v>
      </c>
      <c r="F54" s="320"/>
      <c r="G54" s="217">
        <f t="shared" si="2"/>
        <v>95.30070374654528</v>
      </c>
      <c r="H54" s="216"/>
      <c r="I54" s="355"/>
      <c r="J54" s="355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  <c r="FF54" s="206"/>
      <c r="FG54" s="206"/>
      <c r="FH54" s="206"/>
      <c r="FI54" s="206"/>
      <c r="FJ54" s="206"/>
      <c r="FK54" s="206"/>
      <c r="FL54" s="206"/>
      <c r="FM54" s="206"/>
      <c r="FN54" s="206"/>
      <c r="FO54" s="206"/>
      <c r="FP54" s="206"/>
      <c r="FQ54" s="206"/>
      <c r="FR54" s="206"/>
      <c r="FS54" s="206"/>
      <c r="FT54" s="206"/>
      <c r="FU54" s="206"/>
      <c r="FV54" s="206"/>
      <c r="FW54" s="206"/>
      <c r="FX54" s="206"/>
      <c r="FY54" s="206"/>
      <c r="FZ54" s="206"/>
      <c r="GA54" s="206"/>
      <c r="GB54" s="206"/>
      <c r="GC54" s="206"/>
      <c r="GD54" s="206"/>
      <c r="GE54" s="206"/>
      <c r="GF54" s="206"/>
      <c r="GG54" s="206"/>
      <c r="GH54" s="206"/>
      <c r="GI54" s="206"/>
      <c r="GJ54" s="206"/>
      <c r="GK54" s="206"/>
      <c r="GL54" s="206"/>
      <c r="GM54" s="206"/>
      <c r="GN54" s="206"/>
      <c r="GO54" s="206"/>
      <c r="GP54" s="206"/>
      <c r="GQ54" s="206"/>
      <c r="GR54" s="206"/>
      <c r="GS54" s="206"/>
      <c r="GT54" s="206"/>
      <c r="GU54" s="206"/>
      <c r="GV54" s="206"/>
      <c r="GW54" s="206"/>
      <c r="GX54" s="206"/>
      <c r="GY54" s="206"/>
      <c r="GZ54" s="206"/>
      <c r="HA54" s="206"/>
      <c r="HB54" s="206"/>
      <c r="HC54" s="206"/>
      <c r="HD54" s="206"/>
      <c r="HE54" s="206"/>
      <c r="HF54" s="206"/>
      <c r="HG54" s="206"/>
      <c r="HH54" s="206"/>
      <c r="HI54" s="206"/>
      <c r="HJ54" s="206"/>
      <c r="HK54" s="206"/>
      <c r="HL54" s="206"/>
      <c r="HM54" s="206"/>
      <c r="HN54" s="206"/>
      <c r="HO54" s="206"/>
      <c r="HP54" s="206"/>
      <c r="HQ54" s="206"/>
      <c r="HR54" s="206"/>
      <c r="HS54" s="206"/>
      <c r="HT54" s="206"/>
      <c r="HU54" s="206"/>
      <c r="HV54" s="206"/>
      <c r="HW54" s="206"/>
      <c r="HX54" s="206"/>
      <c r="HY54" s="206"/>
      <c r="HZ54" s="206"/>
      <c r="IA54" s="206"/>
      <c r="IB54" s="206"/>
      <c r="IC54" s="206"/>
      <c r="ID54" s="206"/>
      <c r="IE54" s="206"/>
      <c r="IF54" s="206"/>
      <c r="IG54" s="206"/>
      <c r="IH54" s="206"/>
      <c r="II54" s="206"/>
      <c r="IJ54" s="206"/>
      <c r="IK54" s="206"/>
      <c r="IL54" s="206"/>
      <c r="IM54" s="206"/>
      <c r="IN54" s="206"/>
    </row>
    <row r="55" spans="1:248" ht="16.5" customHeight="1">
      <c r="A55" s="478"/>
      <c r="B55" s="219" t="s">
        <v>296</v>
      </c>
      <c r="C55" s="317">
        <v>171.19</v>
      </c>
      <c r="D55" s="318"/>
      <c r="E55" s="319">
        <v>188.73</v>
      </c>
      <c r="F55" s="320"/>
      <c r="G55" s="217">
        <f t="shared" si="2"/>
        <v>110.24592557976516</v>
      </c>
      <c r="H55" s="216"/>
      <c r="I55" s="356"/>
      <c r="J55" s="35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  <c r="FF55" s="206"/>
      <c r="FG55" s="206"/>
      <c r="FH55" s="206"/>
      <c r="FI55" s="206"/>
      <c r="FJ55" s="206"/>
      <c r="FK55" s="206"/>
      <c r="FL55" s="206"/>
      <c r="FM55" s="206"/>
      <c r="FN55" s="206"/>
      <c r="FO55" s="206"/>
      <c r="FP55" s="206"/>
      <c r="FQ55" s="206"/>
      <c r="FR55" s="206"/>
      <c r="FS55" s="206"/>
      <c r="FT55" s="206"/>
      <c r="FU55" s="206"/>
      <c r="FV55" s="206"/>
      <c r="FW55" s="206"/>
      <c r="FX55" s="206"/>
      <c r="FY55" s="206"/>
      <c r="FZ55" s="206"/>
      <c r="GA55" s="206"/>
      <c r="GB55" s="206"/>
      <c r="GC55" s="206"/>
      <c r="GD55" s="206"/>
      <c r="GE55" s="206"/>
      <c r="GF55" s="206"/>
      <c r="GG55" s="206"/>
      <c r="GH55" s="206"/>
      <c r="GI55" s="206"/>
      <c r="GJ55" s="206"/>
      <c r="GK55" s="206"/>
      <c r="GL55" s="206"/>
      <c r="GM55" s="206"/>
      <c r="GN55" s="206"/>
      <c r="GO55" s="206"/>
      <c r="GP55" s="206"/>
      <c r="GQ55" s="206"/>
      <c r="GR55" s="206"/>
      <c r="GS55" s="206"/>
      <c r="GT55" s="206"/>
      <c r="GU55" s="206"/>
      <c r="GV55" s="206"/>
      <c r="GW55" s="206"/>
      <c r="GX55" s="206"/>
      <c r="GY55" s="206"/>
      <c r="GZ55" s="206"/>
      <c r="HA55" s="206"/>
      <c r="HB55" s="206"/>
      <c r="HC55" s="206"/>
      <c r="HD55" s="206"/>
      <c r="HE55" s="206"/>
      <c r="HF55" s="206"/>
      <c r="HG55" s="206"/>
      <c r="HH55" s="206"/>
      <c r="HI55" s="206"/>
      <c r="HJ55" s="206"/>
      <c r="HK55" s="206"/>
      <c r="HL55" s="206"/>
      <c r="HM55" s="206"/>
      <c r="HN55" s="206"/>
      <c r="HO55" s="206"/>
      <c r="HP55" s="206"/>
      <c r="HQ55" s="206"/>
      <c r="HR55" s="206"/>
      <c r="HS55" s="206"/>
      <c r="HT55" s="206"/>
      <c r="HU55" s="206"/>
      <c r="HV55" s="206"/>
      <c r="HW55" s="206"/>
      <c r="HX55" s="206"/>
      <c r="HY55" s="206"/>
      <c r="HZ55" s="206"/>
      <c r="IA55" s="206"/>
      <c r="IB55" s="206"/>
      <c r="IC55" s="206"/>
      <c r="ID55" s="206"/>
      <c r="IE55" s="206"/>
      <c r="IF55" s="206"/>
      <c r="IG55" s="206"/>
      <c r="IH55" s="206"/>
      <c r="II55" s="206"/>
      <c r="IJ55" s="206"/>
      <c r="IK55" s="206"/>
      <c r="IL55" s="206"/>
      <c r="IM55" s="206"/>
      <c r="IN55" s="206"/>
    </row>
    <row r="56" spans="1:248" ht="27.75" customHeight="1">
      <c r="A56" s="212"/>
      <c r="B56" s="253" t="s">
        <v>572</v>
      </c>
      <c r="C56" s="330">
        <f>C57*C58</f>
        <v>0</v>
      </c>
      <c r="D56" s="318">
        <f>C56/$C$100*1000</f>
        <v>0</v>
      </c>
      <c r="E56" s="330">
        <f>E57*E58</f>
        <v>0</v>
      </c>
      <c r="F56" s="320">
        <f>E56/$E$100*1000</f>
        <v>0</v>
      </c>
      <c r="G56" s="366" t="e">
        <f t="shared" si="2"/>
        <v>#DIV/0!</v>
      </c>
      <c r="H56" s="367" t="e">
        <f t="shared" si="3"/>
        <v>#DIV/0!</v>
      </c>
      <c r="I56" s="352">
        <f>C56/$C$98*100</f>
        <v>0</v>
      </c>
      <c r="J56" s="352">
        <f>E56/$E$98*100</f>
        <v>0</v>
      </c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  <c r="FF56" s="206"/>
      <c r="FG56" s="206"/>
      <c r="FH56" s="206"/>
      <c r="FI56" s="206"/>
      <c r="FJ56" s="206"/>
      <c r="FK56" s="206"/>
      <c r="FL56" s="206"/>
      <c r="FM56" s="206"/>
      <c r="FN56" s="206"/>
      <c r="FO56" s="206"/>
      <c r="FP56" s="206"/>
      <c r="FQ56" s="206"/>
      <c r="FR56" s="206"/>
      <c r="FS56" s="206"/>
      <c r="FT56" s="206"/>
      <c r="FU56" s="206"/>
      <c r="FV56" s="206"/>
      <c r="FW56" s="206"/>
      <c r="FX56" s="206"/>
      <c r="FY56" s="206"/>
      <c r="FZ56" s="206"/>
      <c r="GA56" s="206"/>
      <c r="GB56" s="206"/>
      <c r="GC56" s="206"/>
      <c r="GD56" s="206"/>
      <c r="GE56" s="206"/>
      <c r="GF56" s="206"/>
      <c r="GG56" s="206"/>
      <c r="GH56" s="206"/>
      <c r="GI56" s="206"/>
      <c r="GJ56" s="206"/>
      <c r="GK56" s="206"/>
      <c r="GL56" s="206"/>
      <c r="GM56" s="206"/>
      <c r="GN56" s="206"/>
      <c r="GO56" s="206"/>
      <c r="GP56" s="206"/>
      <c r="GQ56" s="206"/>
      <c r="GR56" s="206"/>
      <c r="GS56" s="206"/>
      <c r="GT56" s="206"/>
      <c r="GU56" s="206"/>
      <c r="GV56" s="206"/>
      <c r="GW56" s="206"/>
      <c r="GX56" s="206"/>
      <c r="GY56" s="206"/>
      <c r="GZ56" s="206"/>
      <c r="HA56" s="206"/>
      <c r="HB56" s="206"/>
      <c r="HC56" s="206"/>
      <c r="HD56" s="206"/>
      <c r="HE56" s="206"/>
      <c r="HF56" s="206"/>
      <c r="HG56" s="206"/>
      <c r="HH56" s="206"/>
      <c r="HI56" s="206"/>
      <c r="HJ56" s="206"/>
      <c r="HK56" s="206"/>
      <c r="HL56" s="206"/>
      <c r="HM56" s="206"/>
      <c r="HN56" s="206"/>
      <c r="HO56" s="206"/>
      <c r="HP56" s="206"/>
      <c r="HQ56" s="206"/>
      <c r="HR56" s="206"/>
      <c r="HS56" s="206"/>
      <c r="HT56" s="206"/>
      <c r="HU56" s="206"/>
      <c r="HV56" s="206"/>
      <c r="HW56" s="206"/>
      <c r="HX56" s="206"/>
      <c r="HY56" s="206"/>
      <c r="HZ56" s="206"/>
      <c r="IA56" s="206"/>
      <c r="IB56" s="206"/>
      <c r="IC56" s="206"/>
      <c r="ID56" s="206"/>
      <c r="IE56" s="206"/>
      <c r="IF56" s="206"/>
      <c r="IG56" s="206"/>
      <c r="IH56" s="206"/>
      <c r="II56" s="206"/>
      <c r="IJ56" s="206"/>
      <c r="IK56" s="206"/>
      <c r="IL56" s="206"/>
      <c r="IM56" s="206"/>
      <c r="IN56" s="206"/>
    </row>
    <row r="57" spans="1:248" ht="16.5" customHeight="1">
      <c r="A57" s="212"/>
      <c r="B57" s="219" t="s">
        <v>300</v>
      </c>
      <c r="C57" s="317"/>
      <c r="D57" s="320">
        <f>C57/$C$107*1000</f>
        <v>0</v>
      </c>
      <c r="E57" s="331"/>
      <c r="F57" s="320">
        <f>E57/$E$107*1000</f>
        <v>0</v>
      </c>
      <c r="G57" s="366" t="e">
        <f t="shared" si="2"/>
        <v>#DIV/0!</v>
      </c>
      <c r="H57" s="367" t="e">
        <f t="shared" si="3"/>
        <v>#DIV/0!</v>
      </c>
      <c r="I57" s="352"/>
      <c r="J57" s="352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6"/>
      <c r="EO57" s="206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6"/>
      <c r="FF57" s="206"/>
      <c r="FG57" s="206"/>
      <c r="FH57" s="206"/>
      <c r="FI57" s="206"/>
      <c r="FJ57" s="206"/>
      <c r="FK57" s="206"/>
      <c r="FL57" s="206"/>
      <c r="FM57" s="206"/>
      <c r="FN57" s="206"/>
      <c r="FO57" s="206"/>
      <c r="FP57" s="206"/>
      <c r="FQ57" s="206"/>
      <c r="FR57" s="206"/>
      <c r="FS57" s="206"/>
      <c r="FT57" s="206"/>
      <c r="FU57" s="206"/>
      <c r="FV57" s="206"/>
      <c r="FW57" s="206"/>
      <c r="FX57" s="206"/>
      <c r="FY57" s="206"/>
      <c r="FZ57" s="206"/>
      <c r="GA57" s="206"/>
      <c r="GB57" s="206"/>
      <c r="GC57" s="206"/>
      <c r="GD57" s="206"/>
      <c r="GE57" s="206"/>
      <c r="GF57" s="206"/>
      <c r="GG57" s="206"/>
      <c r="GH57" s="206"/>
      <c r="GI57" s="206"/>
      <c r="GJ57" s="206"/>
      <c r="GK57" s="206"/>
      <c r="GL57" s="206"/>
      <c r="GM57" s="206"/>
      <c r="GN57" s="206"/>
      <c r="GO57" s="206"/>
      <c r="GP57" s="206"/>
      <c r="GQ57" s="206"/>
      <c r="GR57" s="206"/>
      <c r="GS57" s="206"/>
      <c r="GT57" s="206"/>
      <c r="GU57" s="206"/>
      <c r="GV57" s="206"/>
      <c r="GW57" s="206"/>
      <c r="GX57" s="206"/>
      <c r="GY57" s="206"/>
      <c r="GZ57" s="206"/>
      <c r="HA57" s="206"/>
      <c r="HB57" s="206"/>
      <c r="HC57" s="206"/>
      <c r="HD57" s="206"/>
      <c r="HE57" s="206"/>
      <c r="HF57" s="206"/>
      <c r="HG57" s="206"/>
      <c r="HH57" s="206"/>
      <c r="HI57" s="206"/>
      <c r="HJ57" s="206"/>
      <c r="HK57" s="206"/>
      <c r="HL57" s="206"/>
      <c r="HM57" s="206"/>
      <c r="HN57" s="206"/>
      <c r="HO57" s="206"/>
      <c r="HP57" s="206"/>
      <c r="HQ57" s="206"/>
      <c r="HR57" s="206"/>
      <c r="HS57" s="206"/>
      <c r="HT57" s="206"/>
      <c r="HU57" s="206"/>
      <c r="HV57" s="206"/>
      <c r="HW57" s="206"/>
      <c r="HX57" s="206"/>
      <c r="HY57" s="206"/>
      <c r="HZ57" s="206"/>
      <c r="IA57" s="206"/>
      <c r="IB57" s="206"/>
      <c r="IC57" s="206"/>
      <c r="ID57" s="206"/>
      <c r="IE57" s="206"/>
      <c r="IF57" s="206"/>
      <c r="IG57" s="206"/>
      <c r="IH57" s="206"/>
      <c r="II57" s="206"/>
      <c r="IJ57" s="206"/>
      <c r="IK57" s="206"/>
      <c r="IL57" s="206"/>
      <c r="IM57" s="206"/>
      <c r="IN57" s="206"/>
    </row>
    <row r="58" spans="1:248" ht="16.5" customHeight="1">
      <c r="A58" s="212"/>
      <c r="B58" s="219" t="s">
        <v>297</v>
      </c>
      <c r="C58" s="317"/>
      <c r="D58" s="318"/>
      <c r="E58" s="332"/>
      <c r="F58" s="320"/>
      <c r="G58" s="366" t="e">
        <f t="shared" si="2"/>
        <v>#DIV/0!</v>
      </c>
      <c r="H58" s="367"/>
      <c r="I58" s="352"/>
      <c r="J58" s="352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6"/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  <c r="FF58" s="206"/>
      <c r="FG58" s="206"/>
      <c r="FH58" s="206"/>
      <c r="FI58" s="206"/>
      <c r="FJ58" s="206"/>
      <c r="FK58" s="206"/>
      <c r="FL58" s="206"/>
      <c r="FM58" s="206"/>
      <c r="FN58" s="206"/>
      <c r="FO58" s="206"/>
      <c r="FP58" s="206"/>
      <c r="FQ58" s="206"/>
      <c r="FR58" s="206"/>
      <c r="FS58" s="206"/>
      <c r="FT58" s="206"/>
      <c r="FU58" s="206"/>
      <c r="FV58" s="206"/>
      <c r="FW58" s="206"/>
      <c r="FX58" s="206"/>
      <c r="FY58" s="206"/>
      <c r="FZ58" s="206"/>
      <c r="GA58" s="206"/>
      <c r="GB58" s="206"/>
      <c r="GC58" s="206"/>
      <c r="GD58" s="206"/>
      <c r="GE58" s="206"/>
      <c r="GF58" s="206"/>
      <c r="GG58" s="206"/>
      <c r="GH58" s="206"/>
      <c r="GI58" s="206"/>
      <c r="GJ58" s="206"/>
      <c r="GK58" s="206"/>
      <c r="GL58" s="206"/>
      <c r="GM58" s="206"/>
      <c r="GN58" s="206"/>
      <c r="GO58" s="206"/>
      <c r="GP58" s="206"/>
      <c r="GQ58" s="206"/>
      <c r="GR58" s="206"/>
      <c r="GS58" s="206"/>
      <c r="GT58" s="206"/>
      <c r="GU58" s="206"/>
      <c r="GV58" s="206"/>
      <c r="GW58" s="206"/>
      <c r="GX58" s="206"/>
      <c r="GY58" s="206"/>
      <c r="GZ58" s="206"/>
      <c r="HA58" s="206"/>
      <c r="HB58" s="206"/>
      <c r="HC58" s="206"/>
      <c r="HD58" s="206"/>
      <c r="HE58" s="206"/>
      <c r="HF58" s="206"/>
      <c r="HG58" s="206"/>
      <c r="HH58" s="206"/>
      <c r="HI58" s="206"/>
      <c r="HJ58" s="206"/>
      <c r="HK58" s="206"/>
      <c r="HL58" s="206"/>
      <c r="HM58" s="206"/>
      <c r="HN58" s="206"/>
      <c r="HO58" s="206"/>
      <c r="HP58" s="206"/>
      <c r="HQ58" s="206"/>
      <c r="HR58" s="206"/>
      <c r="HS58" s="206"/>
      <c r="HT58" s="206"/>
      <c r="HU58" s="206"/>
      <c r="HV58" s="206"/>
      <c r="HW58" s="206"/>
      <c r="HX58" s="206"/>
      <c r="HY58" s="206"/>
      <c r="HZ58" s="206"/>
      <c r="IA58" s="206"/>
      <c r="IB58" s="206"/>
      <c r="IC58" s="206"/>
      <c r="ID58" s="206"/>
      <c r="IE58" s="206"/>
      <c r="IF58" s="206"/>
      <c r="IG58" s="206"/>
      <c r="IH58" s="206"/>
      <c r="II58" s="206"/>
      <c r="IJ58" s="206"/>
      <c r="IK58" s="206"/>
      <c r="IL58" s="206"/>
      <c r="IM58" s="206"/>
      <c r="IN58" s="206"/>
    </row>
    <row r="59" spans="1:248" ht="16.5" customHeight="1">
      <c r="A59" s="218" t="s">
        <v>490</v>
      </c>
      <c r="B59" s="227" t="s">
        <v>299</v>
      </c>
      <c r="C59" s="318">
        <f>C60+C63</f>
        <v>426.98130000000003</v>
      </c>
      <c r="D59" s="318">
        <f>C59/$C$100*1000</f>
        <v>350.50180594319494</v>
      </c>
      <c r="E59" s="318">
        <f>E60+E63</f>
        <v>372.27890099999996</v>
      </c>
      <c r="F59" s="320">
        <f>E59/$E$100*1000</f>
        <v>400.36016282020944</v>
      </c>
      <c r="G59" s="217">
        <f t="shared" si="2"/>
        <v>87.18857266114462</v>
      </c>
      <c r="H59" s="216">
        <f t="shared" si="3"/>
        <v>114.22485020950074</v>
      </c>
      <c r="I59" s="352">
        <f>C59/$C$98*100</f>
        <v>12.140950267663463</v>
      </c>
      <c r="J59" s="352">
        <f>E59/$E$98*100</f>
        <v>14.623384424897571</v>
      </c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6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  <c r="FF59" s="206"/>
      <c r="FG59" s="206"/>
      <c r="FH59" s="206"/>
      <c r="FI59" s="206"/>
      <c r="FJ59" s="206"/>
      <c r="FK59" s="206"/>
      <c r="FL59" s="206"/>
      <c r="FM59" s="206"/>
      <c r="FN59" s="206"/>
      <c r="FO59" s="206"/>
      <c r="FP59" s="206"/>
      <c r="FQ59" s="206"/>
      <c r="FR59" s="206"/>
      <c r="FS59" s="206"/>
      <c r="FT59" s="206"/>
      <c r="FU59" s="206"/>
      <c r="FV59" s="206"/>
      <c r="FW59" s="206"/>
      <c r="FX59" s="206"/>
      <c r="FY59" s="206"/>
      <c r="FZ59" s="206"/>
      <c r="GA59" s="206"/>
      <c r="GB59" s="206"/>
      <c r="GC59" s="206"/>
      <c r="GD59" s="206"/>
      <c r="GE59" s="206"/>
      <c r="GF59" s="206"/>
      <c r="GG59" s="206"/>
      <c r="GH59" s="206"/>
      <c r="GI59" s="206"/>
      <c r="GJ59" s="206"/>
      <c r="GK59" s="206"/>
      <c r="GL59" s="206"/>
      <c r="GM59" s="206"/>
      <c r="GN59" s="206"/>
      <c r="GO59" s="206"/>
      <c r="GP59" s="206"/>
      <c r="GQ59" s="206"/>
      <c r="GR59" s="206"/>
      <c r="GS59" s="206"/>
      <c r="GT59" s="206"/>
      <c r="GU59" s="206"/>
      <c r="GV59" s="206"/>
      <c r="GW59" s="206"/>
      <c r="GX59" s="206"/>
      <c r="GY59" s="206"/>
      <c r="GZ59" s="206"/>
      <c r="HA59" s="206"/>
      <c r="HB59" s="206"/>
      <c r="HC59" s="206"/>
      <c r="HD59" s="206"/>
      <c r="HE59" s="206"/>
      <c r="HF59" s="206"/>
      <c r="HG59" s="206"/>
      <c r="HH59" s="206"/>
      <c r="HI59" s="206"/>
      <c r="HJ59" s="206"/>
      <c r="HK59" s="206"/>
      <c r="HL59" s="206"/>
      <c r="HM59" s="206"/>
      <c r="HN59" s="206"/>
      <c r="HO59" s="206"/>
      <c r="HP59" s="206"/>
      <c r="HQ59" s="206"/>
      <c r="HR59" s="206"/>
      <c r="HS59" s="206"/>
      <c r="HT59" s="206"/>
      <c r="HU59" s="206"/>
      <c r="HV59" s="206"/>
      <c r="HW59" s="206"/>
      <c r="HX59" s="206"/>
      <c r="HY59" s="206"/>
      <c r="HZ59" s="206"/>
      <c r="IA59" s="206"/>
      <c r="IB59" s="206"/>
      <c r="IC59" s="206"/>
      <c r="ID59" s="206"/>
      <c r="IE59" s="206"/>
      <c r="IF59" s="206"/>
      <c r="IG59" s="206"/>
      <c r="IH59" s="206"/>
      <c r="II59" s="206"/>
      <c r="IJ59" s="206"/>
      <c r="IK59" s="206"/>
      <c r="IL59" s="206"/>
      <c r="IM59" s="206"/>
      <c r="IN59" s="206"/>
    </row>
    <row r="60" spans="1:248" ht="16.5" customHeight="1">
      <c r="A60" s="218"/>
      <c r="B60" s="219" t="s">
        <v>562</v>
      </c>
      <c r="C60" s="333">
        <f>C61*C62</f>
        <v>426.98130000000003</v>
      </c>
      <c r="D60" s="318">
        <f>C60/$C$100*1000</f>
        <v>350.50180594319494</v>
      </c>
      <c r="E60" s="323">
        <f>E61*E62</f>
        <v>372.27890099999996</v>
      </c>
      <c r="F60" s="320">
        <f>E60/$E$100*1000</f>
        <v>400.36016282020944</v>
      </c>
      <c r="G60" s="217">
        <f t="shared" si="2"/>
        <v>87.18857266114462</v>
      </c>
      <c r="H60" s="216">
        <f t="shared" si="3"/>
        <v>114.22485020950074</v>
      </c>
      <c r="I60" s="351">
        <f>$C$60/C59*100</f>
        <v>100</v>
      </c>
      <c r="J60" s="351">
        <f>E60/$E$59*100</f>
        <v>100</v>
      </c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6"/>
      <c r="ES60" s="206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  <c r="FF60" s="206"/>
      <c r="FG60" s="206"/>
      <c r="FH60" s="206"/>
      <c r="FI60" s="206"/>
      <c r="FJ60" s="206"/>
      <c r="FK60" s="206"/>
      <c r="FL60" s="206"/>
      <c r="FM60" s="206"/>
      <c r="FN60" s="206"/>
      <c r="FO60" s="206"/>
      <c r="FP60" s="206"/>
      <c r="FQ60" s="206"/>
      <c r="FR60" s="206"/>
      <c r="FS60" s="206"/>
      <c r="FT60" s="206"/>
      <c r="FU60" s="206"/>
      <c r="FV60" s="206"/>
      <c r="FW60" s="206"/>
      <c r="FX60" s="206"/>
      <c r="FY60" s="206"/>
      <c r="FZ60" s="206"/>
      <c r="GA60" s="206"/>
      <c r="GB60" s="206"/>
      <c r="GC60" s="206"/>
      <c r="GD60" s="206"/>
      <c r="GE60" s="206"/>
      <c r="GF60" s="206"/>
      <c r="GG60" s="206"/>
      <c r="GH60" s="206"/>
      <c r="GI60" s="206"/>
      <c r="GJ60" s="206"/>
      <c r="GK60" s="206"/>
      <c r="GL60" s="206"/>
      <c r="GM60" s="206"/>
      <c r="GN60" s="206"/>
      <c r="GO60" s="206"/>
      <c r="GP60" s="206"/>
      <c r="GQ60" s="206"/>
      <c r="GR60" s="206"/>
      <c r="GS60" s="206"/>
      <c r="GT60" s="206"/>
      <c r="GU60" s="206"/>
      <c r="GV60" s="206"/>
      <c r="GW60" s="206"/>
      <c r="GX60" s="206"/>
      <c r="GY60" s="206"/>
      <c r="GZ60" s="206"/>
      <c r="HA60" s="206"/>
      <c r="HB60" s="206"/>
      <c r="HC60" s="206"/>
      <c r="HD60" s="206"/>
      <c r="HE60" s="206"/>
      <c r="HF60" s="206"/>
      <c r="HG60" s="206"/>
      <c r="HH60" s="206"/>
      <c r="HI60" s="206"/>
      <c r="HJ60" s="206"/>
      <c r="HK60" s="206"/>
      <c r="HL60" s="206"/>
      <c r="HM60" s="206"/>
      <c r="HN60" s="206"/>
      <c r="HO60" s="206"/>
      <c r="HP60" s="206"/>
      <c r="HQ60" s="206"/>
      <c r="HR60" s="206"/>
      <c r="HS60" s="206"/>
      <c r="HT60" s="206"/>
      <c r="HU60" s="206"/>
      <c r="HV60" s="206"/>
      <c r="HW60" s="206"/>
      <c r="HX60" s="206"/>
      <c r="HY60" s="206"/>
      <c r="HZ60" s="206"/>
      <c r="IA60" s="206"/>
      <c r="IB60" s="206"/>
      <c r="IC60" s="206"/>
      <c r="ID60" s="206"/>
      <c r="IE60" s="206"/>
      <c r="IF60" s="206"/>
      <c r="IG60" s="206"/>
      <c r="IH60" s="206"/>
      <c r="II60" s="206"/>
      <c r="IJ60" s="206"/>
      <c r="IK60" s="206"/>
      <c r="IL60" s="206"/>
      <c r="IM60" s="206"/>
      <c r="IN60" s="206"/>
    </row>
    <row r="61" spans="1:248" ht="16.5" customHeight="1">
      <c r="A61" s="218"/>
      <c r="B61" s="219" t="s">
        <v>300</v>
      </c>
      <c r="C61" s="318">
        <v>98.61</v>
      </c>
      <c r="D61" s="318">
        <f>C61/$C$107*1000</f>
        <v>80.94729929404039</v>
      </c>
      <c r="E61" s="323">
        <v>76.47</v>
      </c>
      <c r="F61" s="320">
        <f>E61/$E$107*1000</f>
        <v>82.23818639365066</v>
      </c>
      <c r="G61" s="217">
        <f t="shared" si="2"/>
        <v>77.5479160328567</v>
      </c>
      <c r="H61" s="216">
        <f t="shared" si="3"/>
        <v>101.5947253470695</v>
      </c>
      <c r="I61" s="355"/>
      <c r="J61" s="355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06"/>
      <c r="ER61" s="206"/>
      <c r="ES61" s="206"/>
      <c r="ET61" s="206"/>
      <c r="EU61" s="206"/>
      <c r="EV61" s="206"/>
      <c r="EW61" s="206"/>
      <c r="EX61" s="206"/>
      <c r="EY61" s="206"/>
      <c r="EZ61" s="206"/>
      <c r="FA61" s="206"/>
      <c r="FB61" s="206"/>
      <c r="FC61" s="206"/>
      <c r="FD61" s="206"/>
      <c r="FE61" s="206"/>
      <c r="FF61" s="206"/>
      <c r="FG61" s="206"/>
      <c r="FH61" s="206"/>
      <c r="FI61" s="206"/>
      <c r="FJ61" s="206"/>
      <c r="FK61" s="206"/>
      <c r="FL61" s="206"/>
      <c r="FM61" s="206"/>
      <c r="FN61" s="206"/>
      <c r="FO61" s="206"/>
      <c r="FP61" s="206"/>
      <c r="FQ61" s="206"/>
      <c r="FR61" s="206"/>
      <c r="FS61" s="206"/>
      <c r="FT61" s="206"/>
      <c r="FU61" s="206"/>
      <c r="FV61" s="206"/>
      <c r="FW61" s="206"/>
      <c r="FX61" s="206"/>
      <c r="FY61" s="206"/>
      <c r="FZ61" s="206"/>
      <c r="GA61" s="206"/>
      <c r="GB61" s="206"/>
      <c r="GC61" s="206"/>
      <c r="GD61" s="206"/>
      <c r="GE61" s="206"/>
      <c r="GF61" s="206"/>
      <c r="GG61" s="206"/>
      <c r="GH61" s="206"/>
      <c r="GI61" s="206"/>
      <c r="GJ61" s="206"/>
      <c r="GK61" s="206"/>
      <c r="GL61" s="206"/>
      <c r="GM61" s="206"/>
      <c r="GN61" s="206"/>
      <c r="GO61" s="206"/>
      <c r="GP61" s="206"/>
      <c r="GQ61" s="206"/>
      <c r="GR61" s="206"/>
      <c r="GS61" s="206"/>
      <c r="GT61" s="206"/>
      <c r="GU61" s="206"/>
      <c r="GV61" s="206"/>
      <c r="GW61" s="206"/>
      <c r="GX61" s="206"/>
      <c r="GY61" s="206"/>
      <c r="GZ61" s="206"/>
      <c r="HA61" s="206"/>
      <c r="HB61" s="206"/>
      <c r="HC61" s="206"/>
      <c r="HD61" s="206"/>
      <c r="HE61" s="206"/>
      <c r="HF61" s="206"/>
      <c r="HG61" s="206"/>
      <c r="HH61" s="206"/>
      <c r="HI61" s="206"/>
      <c r="HJ61" s="206"/>
      <c r="HK61" s="206"/>
      <c r="HL61" s="206"/>
      <c r="HM61" s="206"/>
      <c r="HN61" s="206"/>
      <c r="HO61" s="206"/>
      <c r="HP61" s="206"/>
      <c r="HQ61" s="206"/>
      <c r="HR61" s="206"/>
      <c r="HS61" s="206"/>
      <c r="HT61" s="206"/>
      <c r="HU61" s="206"/>
      <c r="HV61" s="206"/>
      <c r="HW61" s="206"/>
      <c r="HX61" s="206"/>
      <c r="HY61" s="206"/>
      <c r="HZ61" s="206"/>
      <c r="IA61" s="206"/>
      <c r="IB61" s="206"/>
      <c r="IC61" s="206"/>
      <c r="ID61" s="206"/>
      <c r="IE61" s="206"/>
      <c r="IF61" s="206"/>
      <c r="IG61" s="206"/>
      <c r="IH61" s="206"/>
      <c r="II61" s="206"/>
      <c r="IJ61" s="206"/>
      <c r="IK61" s="206"/>
      <c r="IL61" s="206"/>
      <c r="IM61" s="206"/>
      <c r="IN61" s="206"/>
    </row>
    <row r="62" spans="1:248" ht="16.5" customHeight="1">
      <c r="A62" s="218"/>
      <c r="B62" s="219" t="s">
        <v>297</v>
      </c>
      <c r="C62" s="318">
        <v>4.33</v>
      </c>
      <c r="D62" s="318"/>
      <c r="E62" s="323">
        <v>4.8683</v>
      </c>
      <c r="F62" s="320"/>
      <c r="G62" s="217">
        <f t="shared" si="2"/>
        <v>112.43187066974593</v>
      </c>
      <c r="H62" s="216"/>
      <c r="I62" s="355"/>
      <c r="J62" s="355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6"/>
      <c r="FP62" s="206"/>
      <c r="FQ62" s="206"/>
      <c r="FR62" s="206"/>
      <c r="FS62" s="206"/>
      <c r="FT62" s="206"/>
      <c r="FU62" s="206"/>
      <c r="FV62" s="206"/>
      <c r="FW62" s="206"/>
      <c r="FX62" s="206"/>
      <c r="FY62" s="206"/>
      <c r="FZ62" s="206"/>
      <c r="GA62" s="206"/>
      <c r="GB62" s="206"/>
      <c r="GC62" s="206"/>
      <c r="GD62" s="206"/>
      <c r="GE62" s="206"/>
      <c r="GF62" s="206"/>
      <c r="GG62" s="206"/>
      <c r="GH62" s="206"/>
      <c r="GI62" s="206"/>
      <c r="GJ62" s="206"/>
      <c r="GK62" s="206"/>
      <c r="GL62" s="206"/>
      <c r="GM62" s="206"/>
      <c r="GN62" s="206"/>
      <c r="GO62" s="206"/>
      <c r="GP62" s="206"/>
      <c r="GQ62" s="206"/>
      <c r="GR62" s="206"/>
      <c r="GS62" s="206"/>
      <c r="GT62" s="206"/>
      <c r="GU62" s="206"/>
      <c r="GV62" s="206"/>
      <c r="GW62" s="206"/>
      <c r="GX62" s="206"/>
      <c r="GY62" s="206"/>
      <c r="GZ62" s="206"/>
      <c r="HA62" s="206"/>
      <c r="HB62" s="206"/>
      <c r="HC62" s="206"/>
      <c r="HD62" s="206"/>
      <c r="HE62" s="206"/>
      <c r="HF62" s="206"/>
      <c r="HG62" s="206"/>
      <c r="HH62" s="206"/>
      <c r="HI62" s="206"/>
      <c r="HJ62" s="206"/>
      <c r="HK62" s="206"/>
      <c r="HL62" s="206"/>
      <c r="HM62" s="206"/>
      <c r="HN62" s="206"/>
      <c r="HO62" s="206"/>
      <c r="HP62" s="206"/>
      <c r="HQ62" s="206"/>
      <c r="HR62" s="206"/>
      <c r="HS62" s="206"/>
      <c r="HT62" s="206"/>
      <c r="HU62" s="206"/>
      <c r="HV62" s="206"/>
      <c r="HW62" s="206"/>
      <c r="HX62" s="206"/>
      <c r="HY62" s="206"/>
      <c r="HZ62" s="206"/>
      <c r="IA62" s="206"/>
      <c r="IB62" s="206"/>
      <c r="IC62" s="206"/>
      <c r="ID62" s="206"/>
      <c r="IE62" s="206"/>
      <c r="IF62" s="206"/>
      <c r="IG62" s="206"/>
      <c r="IH62" s="206"/>
      <c r="II62" s="206"/>
      <c r="IJ62" s="206"/>
      <c r="IK62" s="206"/>
      <c r="IL62" s="206"/>
      <c r="IM62" s="206"/>
      <c r="IN62" s="206"/>
    </row>
    <row r="63" spans="1:248" ht="15" customHeight="1">
      <c r="A63" s="218"/>
      <c r="B63" s="219" t="s">
        <v>563</v>
      </c>
      <c r="C63" s="333">
        <f>C64*C65</f>
        <v>0</v>
      </c>
      <c r="D63" s="318">
        <f>C63/$C$100*1000</f>
        <v>0</v>
      </c>
      <c r="E63" s="323">
        <f>E64*E65</f>
        <v>0</v>
      </c>
      <c r="F63" s="320">
        <f>E63/$E$100*1000</f>
        <v>0</v>
      </c>
      <c r="G63" s="366" t="e">
        <f t="shared" si="2"/>
        <v>#DIV/0!</v>
      </c>
      <c r="H63" s="367" t="e">
        <f t="shared" si="3"/>
        <v>#DIV/0!</v>
      </c>
      <c r="I63" s="351"/>
      <c r="J63" s="351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206"/>
      <c r="EU63" s="206"/>
      <c r="EV63" s="206"/>
      <c r="EW63" s="206"/>
      <c r="EX63" s="206"/>
      <c r="EY63" s="206"/>
      <c r="EZ63" s="206"/>
      <c r="FA63" s="206"/>
      <c r="FB63" s="206"/>
      <c r="FC63" s="206"/>
      <c r="FD63" s="206"/>
      <c r="FE63" s="206"/>
      <c r="FF63" s="206"/>
      <c r="FG63" s="206"/>
      <c r="FH63" s="206"/>
      <c r="FI63" s="206"/>
      <c r="FJ63" s="206"/>
      <c r="FK63" s="206"/>
      <c r="FL63" s="206"/>
      <c r="FM63" s="206"/>
      <c r="FN63" s="206"/>
      <c r="FO63" s="206"/>
      <c r="FP63" s="206"/>
      <c r="FQ63" s="206"/>
      <c r="FR63" s="206"/>
      <c r="FS63" s="206"/>
      <c r="FT63" s="206"/>
      <c r="FU63" s="206"/>
      <c r="FV63" s="206"/>
      <c r="FW63" s="206"/>
      <c r="FX63" s="206"/>
      <c r="FY63" s="206"/>
      <c r="FZ63" s="206"/>
      <c r="GA63" s="206"/>
      <c r="GB63" s="206"/>
      <c r="GC63" s="206"/>
      <c r="GD63" s="206"/>
      <c r="GE63" s="206"/>
      <c r="GF63" s="206"/>
      <c r="GG63" s="206"/>
      <c r="GH63" s="206"/>
      <c r="GI63" s="206"/>
      <c r="GJ63" s="206"/>
      <c r="GK63" s="206"/>
      <c r="GL63" s="206"/>
      <c r="GM63" s="206"/>
      <c r="GN63" s="206"/>
      <c r="GO63" s="206"/>
      <c r="GP63" s="206"/>
      <c r="GQ63" s="206"/>
      <c r="GR63" s="206"/>
      <c r="GS63" s="206"/>
      <c r="GT63" s="206"/>
      <c r="GU63" s="206"/>
      <c r="GV63" s="206"/>
      <c r="GW63" s="206"/>
      <c r="GX63" s="206"/>
      <c r="GY63" s="206"/>
      <c r="GZ63" s="206"/>
      <c r="HA63" s="206"/>
      <c r="HB63" s="206"/>
      <c r="HC63" s="206"/>
      <c r="HD63" s="206"/>
      <c r="HE63" s="206"/>
      <c r="HF63" s="206"/>
      <c r="HG63" s="206"/>
      <c r="HH63" s="206"/>
      <c r="HI63" s="206"/>
      <c r="HJ63" s="206"/>
      <c r="HK63" s="206"/>
      <c r="HL63" s="206"/>
      <c r="HM63" s="206"/>
      <c r="HN63" s="206"/>
      <c r="HO63" s="206"/>
      <c r="HP63" s="206"/>
      <c r="HQ63" s="206"/>
      <c r="HR63" s="206"/>
      <c r="HS63" s="206"/>
      <c r="HT63" s="206"/>
      <c r="HU63" s="206"/>
      <c r="HV63" s="206"/>
      <c r="HW63" s="206"/>
      <c r="HX63" s="206"/>
      <c r="HY63" s="206"/>
      <c r="HZ63" s="206"/>
      <c r="IA63" s="206"/>
      <c r="IB63" s="206"/>
      <c r="IC63" s="206"/>
      <c r="ID63" s="206"/>
      <c r="IE63" s="206"/>
      <c r="IF63" s="206"/>
      <c r="IG63" s="206"/>
      <c r="IH63" s="206"/>
      <c r="II63" s="206"/>
      <c r="IJ63" s="206"/>
      <c r="IK63" s="206"/>
      <c r="IL63" s="206"/>
      <c r="IM63" s="206"/>
      <c r="IN63" s="206"/>
    </row>
    <row r="64" spans="1:248" ht="15.75" customHeight="1">
      <c r="A64" s="218"/>
      <c r="B64" s="219" t="s">
        <v>300</v>
      </c>
      <c r="C64" s="318"/>
      <c r="D64" s="318">
        <f>C64/$C$107*1000</f>
        <v>0</v>
      </c>
      <c r="E64" s="323"/>
      <c r="F64" s="320">
        <f>E64/$E$107*1000</f>
        <v>0</v>
      </c>
      <c r="G64" s="366" t="e">
        <f t="shared" si="2"/>
        <v>#DIV/0!</v>
      </c>
      <c r="H64" s="367" t="e">
        <f t="shared" si="3"/>
        <v>#DIV/0!</v>
      </c>
      <c r="I64" s="355"/>
      <c r="J64" s="355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6"/>
      <c r="EO64" s="206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6"/>
      <c r="FF64" s="206"/>
      <c r="FG64" s="206"/>
      <c r="FH64" s="206"/>
      <c r="FI64" s="206"/>
      <c r="FJ64" s="206"/>
      <c r="FK64" s="206"/>
      <c r="FL64" s="206"/>
      <c r="FM64" s="206"/>
      <c r="FN64" s="206"/>
      <c r="FO64" s="206"/>
      <c r="FP64" s="206"/>
      <c r="FQ64" s="206"/>
      <c r="FR64" s="206"/>
      <c r="FS64" s="206"/>
      <c r="FT64" s="206"/>
      <c r="FU64" s="206"/>
      <c r="FV64" s="206"/>
      <c r="FW64" s="206"/>
      <c r="FX64" s="206"/>
      <c r="FY64" s="206"/>
      <c r="FZ64" s="206"/>
      <c r="GA64" s="206"/>
      <c r="GB64" s="206"/>
      <c r="GC64" s="206"/>
      <c r="GD64" s="206"/>
      <c r="GE64" s="206"/>
      <c r="GF64" s="206"/>
      <c r="GG64" s="206"/>
      <c r="GH64" s="206"/>
      <c r="GI64" s="206"/>
      <c r="GJ64" s="206"/>
      <c r="GK64" s="206"/>
      <c r="GL64" s="206"/>
      <c r="GM64" s="206"/>
      <c r="GN64" s="206"/>
      <c r="GO64" s="206"/>
      <c r="GP64" s="206"/>
      <c r="GQ64" s="206"/>
      <c r="GR64" s="206"/>
      <c r="GS64" s="206"/>
      <c r="GT64" s="206"/>
      <c r="GU64" s="206"/>
      <c r="GV64" s="206"/>
      <c r="GW64" s="206"/>
      <c r="GX64" s="206"/>
      <c r="GY64" s="206"/>
      <c r="GZ64" s="206"/>
      <c r="HA64" s="206"/>
      <c r="HB64" s="206"/>
      <c r="HC64" s="206"/>
      <c r="HD64" s="206"/>
      <c r="HE64" s="206"/>
      <c r="HF64" s="206"/>
      <c r="HG64" s="206"/>
      <c r="HH64" s="206"/>
      <c r="HI64" s="206"/>
      <c r="HJ64" s="206"/>
      <c r="HK64" s="206"/>
      <c r="HL64" s="206"/>
      <c r="HM64" s="206"/>
      <c r="HN64" s="206"/>
      <c r="HO64" s="206"/>
      <c r="HP64" s="206"/>
      <c r="HQ64" s="206"/>
      <c r="HR64" s="206"/>
      <c r="HS64" s="206"/>
      <c r="HT64" s="206"/>
      <c r="HU64" s="206"/>
      <c r="HV64" s="206"/>
      <c r="HW64" s="206"/>
      <c r="HX64" s="206"/>
      <c r="HY64" s="206"/>
      <c r="HZ64" s="206"/>
      <c r="IA64" s="206"/>
      <c r="IB64" s="206"/>
      <c r="IC64" s="206"/>
      <c r="ID64" s="206"/>
      <c r="IE64" s="206"/>
      <c r="IF64" s="206"/>
      <c r="IG64" s="206"/>
      <c r="IH64" s="206"/>
      <c r="II64" s="206"/>
      <c r="IJ64" s="206"/>
      <c r="IK64" s="206"/>
      <c r="IL64" s="206"/>
      <c r="IM64" s="206"/>
      <c r="IN64" s="206"/>
    </row>
    <row r="65" spans="1:248" ht="16.5" customHeight="1">
      <c r="A65" s="218"/>
      <c r="B65" s="219" t="s">
        <v>297</v>
      </c>
      <c r="C65" s="318"/>
      <c r="D65" s="318"/>
      <c r="E65" s="323"/>
      <c r="F65" s="320"/>
      <c r="G65" s="366" t="e">
        <f t="shared" si="2"/>
        <v>#DIV/0!</v>
      </c>
      <c r="H65" s="367"/>
      <c r="I65" s="355"/>
      <c r="J65" s="355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206"/>
      <c r="EN65" s="206"/>
      <c r="EO65" s="206"/>
      <c r="EP65" s="206"/>
      <c r="EQ65" s="206"/>
      <c r="ER65" s="206"/>
      <c r="ES65" s="206"/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6"/>
      <c r="FF65" s="206"/>
      <c r="FG65" s="206"/>
      <c r="FH65" s="206"/>
      <c r="FI65" s="206"/>
      <c r="FJ65" s="206"/>
      <c r="FK65" s="206"/>
      <c r="FL65" s="206"/>
      <c r="FM65" s="206"/>
      <c r="FN65" s="206"/>
      <c r="FO65" s="206"/>
      <c r="FP65" s="206"/>
      <c r="FQ65" s="206"/>
      <c r="FR65" s="206"/>
      <c r="FS65" s="206"/>
      <c r="FT65" s="206"/>
      <c r="FU65" s="206"/>
      <c r="FV65" s="206"/>
      <c r="FW65" s="206"/>
      <c r="FX65" s="206"/>
      <c r="FY65" s="206"/>
      <c r="FZ65" s="206"/>
      <c r="GA65" s="206"/>
      <c r="GB65" s="206"/>
      <c r="GC65" s="206"/>
      <c r="GD65" s="206"/>
      <c r="GE65" s="206"/>
      <c r="GF65" s="206"/>
      <c r="GG65" s="206"/>
      <c r="GH65" s="206"/>
      <c r="GI65" s="206"/>
      <c r="GJ65" s="206"/>
      <c r="GK65" s="206"/>
      <c r="GL65" s="206"/>
      <c r="GM65" s="206"/>
      <c r="GN65" s="206"/>
      <c r="GO65" s="206"/>
      <c r="GP65" s="206"/>
      <c r="GQ65" s="206"/>
      <c r="GR65" s="206"/>
      <c r="GS65" s="206"/>
      <c r="GT65" s="206"/>
      <c r="GU65" s="206"/>
      <c r="GV65" s="206"/>
      <c r="GW65" s="206"/>
      <c r="GX65" s="206"/>
      <c r="GY65" s="206"/>
      <c r="GZ65" s="206"/>
      <c r="HA65" s="206"/>
      <c r="HB65" s="206"/>
      <c r="HC65" s="206"/>
      <c r="HD65" s="206"/>
      <c r="HE65" s="206"/>
      <c r="HF65" s="206"/>
      <c r="HG65" s="206"/>
      <c r="HH65" s="206"/>
      <c r="HI65" s="206"/>
      <c r="HJ65" s="206"/>
      <c r="HK65" s="206"/>
      <c r="HL65" s="206"/>
      <c r="HM65" s="206"/>
      <c r="HN65" s="206"/>
      <c r="HO65" s="206"/>
      <c r="HP65" s="206"/>
      <c r="HQ65" s="206"/>
      <c r="HR65" s="206"/>
      <c r="HS65" s="206"/>
      <c r="HT65" s="206"/>
      <c r="HU65" s="206"/>
      <c r="HV65" s="206"/>
      <c r="HW65" s="206"/>
      <c r="HX65" s="206"/>
      <c r="HY65" s="206"/>
      <c r="HZ65" s="206"/>
      <c r="IA65" s="206"/>
      <c r="IB65" s="206"/>
      <c r="IC65" s="206"/>
      <c r="ID65" s="206"/>
      <c r="IE65" s="206"/>
      <c r="IF65" s="206"/>
      <c r="IG65" s="206"/>
      <c r="IH65" s="206"/>
      <c r="II65" s="206"/>
      <c r="IJ65" s="206"/>
      <c r="IK65" s="206"/>
      <c r="IL65" s="206"/>
      <c r="IM65" s="206"/>
      <c r="IN65" s="206"/>
    </row>
    <row r="66" spans="1:248" ht="15.75" customHeight="1">
      <c r="A66" s="218"/>
      <c r="B66" s="219" t="s">
        <v>564</v>
      </c>
      <c r="C66" s="318">
        <f>C61+C64</f>
        <v>98.61</v>
      </c>
      <c r="D66" s="318">
        <f>C66/$C$107*1000</f>
        <v>80.94729929404039</v>
      </c>
      <c r="E66" s="323">
        <f>C66</f>
        <v>98.61</v>
      </c>
      <c r="F66" s="320">
        <f>E66/$E$107*1000</f>
        <v>106.04822231303638</v>
      </c>
      <c r="G66" s="217">
        <f t="shared" si="2"/>
        <v>100</v>
      </c>
      <c r="H66" s="216">
        <f t="shared" si="3"/>
        <v>131.0089690921214</v>
      </c>
      <c r="I66" s="355"/>
      <c r="J66" s="355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6"/>
      <c r="EO66" s="206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  <c r="FF66" s="206"/>
      <c r="FG66" s="206"/>
      <c r="FH66" s="206"/>
      <c r="FI66" s="206"/>
      <c r="FJ66" s="206"/>
      <c r="FK66" s="206"/>
      <c r="FL66" s="206"/>
      <c r="FM66" s="206"/>
      <c r="FN66" s="206"/>
      <c r="FO66" s="206"/>
      <c r="FP66" s="206"/>
      <c r="FQ66" s="206"/>
      <c r="FR66" s="206"/>
      <c r="FS66" s="206"/>
      <c r="FT66" s="206"/>
      <c r="FU66" s="206"/>
      <c r="FV66" s="206"/>
      <c r="FW66" s="206"/>
      <c r="FX66" s="206"/>
      <c r="FY66" s="206"/>
      <c r="FZ66" s="206"/>
      <c r="GA66" s="206"/>
      <c r="GB66" s="206"/>
      <c r="GC66" s="206"/>
      <c r="GD66" s="206"/>
      <c r="GE66" s="206"/>
      <c r="GF66" s="206"/>
      <c r="GG66" s="206"/>
      <c r="GH66" s="206"/>
      <c r="GI66" s="206"/>
      <c r="GJ66" s="206"/>
      <c r="GK66" s="206"/>
      <c r="GL66" s="206"/>
      <c r="GM66" s="206"/>
      <c r="GN66" s="206"/>
      <c r="GO66" s="206"/>
      <c r="GP66" s="206"/>
      <c r="GQ66" s="206"/>
      <c r="GR66" s="206"/>
      <c r="GS66" s="206"/>
      <c r="GT66" s="206"/>
      <c r="GU66" s="206"/>
      <c r="GV66" s="206"/>
      <c r="GW66" s="206"/>
      <c r="GX66" s="206"/>
      <c r="GY66" s="206"/>
      <c r="GZ66" s="206"/>
      <c r="HA66" s="206"/>
      <c r="HB66" s="206"/>
      <c r="HC66" s="206"/>
      <c r="HD66" s="206"/>
      <c r="HE66" s="206"/>
      <c r="HF66" s="206"/>
      <c r="HG66" s="206"/>
      <c r="HH66" s="206"/>
      <c r="HI66" s="206"/>
      <c r="HJ66" s="206"/>
      <c r="HK66" s="206"/>
      <c r="HL66" s="206"/>
      <c r="HM66" s="206"/>
      <c r="HN66" s="206"/>
      <c r="HO66" s="206"/>
      <c r="HP66" s="206"/>
      <c r="HQ66" s="206"/>
      <c r="HR66" s="206"/>
      <c r="HS66" s="206"/>
      <c r="HT66" s="206"/>
      <c r="HU66" s="206"/>
      <c r="HV66" s="206"/>
      <c r="HW66" s="206"/>
      <c r="HX66" s="206"/>
      <c r="HY66" s="206"/>
      <c r="HZ66" s="206"/>
      <c r="IA66" s="206"/>
      <c r="IB66" s="206"/>
      <c r="IC66" s="206"/>
      <c r="ID66" s="206"/>
      <c r="IE66" s="206"/>
      <c r="IF66" s="206"/>
      <c r="IG66" s="206"/>
      <c r="IH66" s="206"/>
      <c r="II66" s="206"/>
      <c r="IJ66" s="206"/>
      <c r="IK66" s="206"/>
      <c r="IL66" s="206"/>
      <c r="IM66" s="206"/>
      <c r="IN66" s="206"/>
    </row>
    <row r="67" spans="1:248" ht="16.5" customHeight="1">
      <c r="A67" s="218"/>
      <c r="B67" s="219" t="s">
        <v>491</v>
      </c>
      <c r="C67" s="318">
        <f>C59/C66</f>
        <v>4.33</v>
      </c>
      <c r="D67" s="318"/>
      <c r="E67" s="323">
        <f>E59/E66</f>
        <v>3.7752651962275627</v>
      </c>
      <c r="F67" s="320"/>
      <c r="G67" s="217">
        <f t="shared" si="2"/>
        <v>87.18857266114463</v>
      </c>
      <c r="H67" s="216"/>
      <c r="I67" s="355"/>
      <c r="J67" s="355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6"/>
      <c r="EL67" s="206"/>
      <c r="EM67" s="206"/>
      <c r="EN67" s="206"/>
      <c r="EO67" s="206"/>
      <c r="EP67" s="206"/>
      <c r="EQ67" s="206"/>
      <c r="ER67" s="206"/>
      <c r="ES67" s="206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6"/>
      <c r="FF67" s="206"/>
      <c r="FG67" s="206"/>
      <c r="FH67" s="206"/>
      <c r="FI67" s="206"/>
      <c r="FJ67" s="206"/>
      <c r="FK67" s="206"/>
      <c r="FL67" s="206"/>
      <c r="FM67" s="206"/>
      <c r="FN67" s="206"/>
      <c r="FO67" s="206"/>
      <c r="FP67" s="206"/>
      <c r="FQ67" s="206"/>
      <c r="FR67" s="206"/>
      <c r="FS67" s="206"/>
      <c r="FT67" s="206"/>
      <c r="FU67" s="206"/>
      <c r="FV67" s="206"/>
      <c r="FW67" s="206"/>
      <c r="FX67" s="206"/>
      <c r="FY67" s="206"/>
      <c r="FZ67" s="206"/>
      <c r="GA67" s="206"/>
      <c r="GB67" s="206"/>
      <c r="GC67" s="206"/>
      <c r="GD67" s="206"/>
      <c r="GE67" s="206"/>
      <c r="GF67" s="206"/>
      <c r="GG67" s="206"/>
      <c r="GH67" s="206"/>
      <c r="GI67" s="206"/>
      <c r="GJ67" s="206"/>
      <c r="GK67" s="206"/>
      <c r="GL67" s="206"/>
      <c r="GM67" s="206"/>
      <c r="GN67" s="206"/>
      <c r="GO67" s="206"/>
      <c r="GP67" s="206"/>
      <c r="GQ67" s="206"/>
      <c r="GR67" s="206"/>
      <c r="GS67" s="206"/>
      <c r="GT67" s="206"/>
      <c r="GU67" s="206"/>
      <c r="GV67" s="206"/>
      <c r="GW67" s="206"/>
      <c r="GX67" s="206"/>
      <c r="GY67" s="206"/>
      <c r="GZ67" s="206"/>
      <c r="HA67" s="206"/>
      <c r="HB67" s="206"/>
      <c r="HC67" s="206"/>
      <c r="HD67" s="206"/>
      <c r="HE67" s="206"/>
      <c r="HF67" s="206"/>
      <c r="HG67" s="206"/>
      <c r="HH67" s="206"/>
      <c r="HI67" s="206"/>
      <c r="HJ67" s="206"/>
      <c r="HK67" s="206"/>
      <c r="HL67" s="206"/>
      <c r="HM67" s="206"/>
      <c r="HN67" s="206"/>
      <c r="HO67" s="206"/>
      <c r="HP67" s="206"/>
      <c r="HQ67" s="206"/>
      <c r="HR67" s="206"/>
      <c r="HS67" s="206"/>
      <c r="HT67" s="206"/>
      <c r="HU67" s="206"/>
      <c r="HV67" s="206"/>
      <c r="HW67" s="206"/>
      <c r="HX67" s="206"/>
      <c r="HY67" s="206"/>
      <c r="HZ67" s="206"/>
      <c r="IA67" s="206"/>
      <c r="IB67" s="206"/>
      <c r="IC67" s="206"/>
      <c r="ID67" s="206"/>
      <c r="IE67" s="206"/>
      <c r="IF67" s="206"/>
      <c r="IG67" s="206"/>
      <c r="IH67" s="206"/>
      <c r="II67" s="206"/>
      <c r="IJ67" s="206"/>
      <c r="IK67" s="206"/>
      <c r="IL67" s="206"/>
      <c r="IM67" s="206"/>
      <c r="IN67" s="206"/>
    </row>
    <row r="68" spans="1:10" ht="16.5" customHeight="1">
      <c r="A68" s="218" t="s">
        <v>492</v>
      </c>
      <c r="B68" s="220" t="s">
        <v>565</v>
      </c>
      <c r="C68" s="318">
        <f>(C69*C70)</f>
        <v>11.901813999999998</v>
      </c>
      <c r="D68" s="320">
        <f>C68/$C$100*1000</f>
        <v>9.769999999999998</v>
      </c>
      <c r="E68" s="318">
        <f>(E69*E70)</f>
        <v>10.999989999999999</v>
      </c>
      <c r="F68" s="320">
        <f>E68/$E$100*1000</f>
        <v>11.8297270556858</v>
      </c>
      <c r="G68" s="217">
        <f t="shared" si="2"/>
        <v>92.42280210394819</v>
      </c>
      <c r="H68" s="216">
        <f t="shared" si="3"/>
        <v>121.08216024243401</v>
      </c>
      <c r="I68" s="355"/>
      <c r="J68" s="355"/>
    </row>
    <row r="69" spans="1:10" ht="17.25" customHeight="1">
      <c r="A69" s="218"/>
      <c r="B69" s="219" t="s">
        <v>493</v>
      </c>
      <c r="C69" s="318">
        <v>0.6091</v>
      </c>
      <c r="D69" s="320">
        <f>C69/$C$100*1000</f>
        <v>0.5</v>
      </c>
      <c r="E69" s="318">
        <v>0.58</v>
      </c>
      <c r="F69" s="320">
        <f>E69/$E$107*1000</f>
        <v>0.6237498117996257</v>
      </c>
      <c r="G69" s="217">
        <f t="shared" si="2"/>
        <v>95.22245936627812</v>
      </c>
      <c r="H69" s="216">
        <f t="shared" si="3"/>
        <v>124.74996235992515</v>
      </c>
      <c r="I69" s="355"/>
      <c r="J69" s="355"/>
    </row>
    <row r="70" spans="1:10" ht="16.5" customHeight="1" thickBot="1">
      <c r="A70" s="218"/>
      <c r="B70" s="219" t="s">
        <v>494</v>
      </c>
      <c r="C70" s="318">
        <v>19.54</v>
      </c>
      <c r="D70" s="320"/>
      <c r="E70" s="318">
        <v>18.9655</v>
      </c>
      <c r="F70" s="320"/>
      <c r="G70" s="250">
        <f t="shared" si="2"/>
        <v>97.05987717502559</v>
      </c>
      <c r="H70" s="258"/>
      <c r="I70" s="357"/>
      <c r="J70" s="357"/>
    </row>
    <row r="71" spans="1:248" ht="18.75" customHeight="1" thickBot="1">
      <c r="A71" s="224" t="s">
        <v>495</v>
      </c>
      <c r="B71" s="225" t="s">
        <v>496</v>
      </c>
      <c r="C71" s="310">
        <f>C72+C76+C77+C78+C81</f>
        <v>598.69</v>
      </c>
      <c r="D71" s="328">
        <f>C71/$C$100*1000</f>
        <v>491.45460515514696</v>
      </c>
      <c r="E71" s="310">
        <f>E72+E76+E77+E78+E81</f>
        <v>349.9</v>
      </c>
      <c r="F71" s="311">
        <f>E71/$E$100*1000</f>
        <v>376.29320542877423</v>
      </c>
      <c r="G71" s="251">
        <f t="shared" si="2"/>
        <v>58.444269989477014</v>
      </c>
      <c r="H71" s="211">
        <f t="shared" si="3"/>
        <v>76.56723560662994</v>
      </c>
      <c r="I71" s="353">
        <f>C71/$C$98*100</f>
        <v>17.023381388710558</v>
      </c>
      <c r="J71" s="353">
        <f>E71/$E$98*100</f>
        <v>13.744325011509744</v>
      </c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  <c r="EO71" s="226"/>
      <c r="EP71" s="226"/>
      <c r="EQ71" s="226"/>
      <c r="ER71" s="226"/>
      <c r="ES71" s="226"/>
      <c r="ET71" s="226"/>
      <c r="EU71" s="226"/>
      <c r="EV71" s="226"/>
      <c r="EW71" s="226"/>
      <c r="EX71" s="226"/>
      <c r="EY71" s="226"/>
      <c r="EZ71" s="226"/>
      <c r="FA71" s="226"/>
      <c r="FB71" s="226"/>
      <c r="FC71" s="226"/>
      <c r="FD71" s="226"/>
      <c r="FE71" s="226"/>
      <c r="FF71" s="226"/>
      <c r="FG71" s="226"/>
      <c r="FH71" s="226"/>
      <c r="FI71" s="226"/>
      <c r="FJ71" s="226"/>
      <c r="FK71" s="226"/>
      <c r="FL71" s="226"/>
      <c r="FM71" s="226"/>
      <c r="FN71" s="226"/>
      <c r="FO71" s="226"/>
      <c r="FP71" s="226"/>
      <c r="FQ71" s="226"/>
      <c r="FR71" s="226"/>
      <c r="FS71" s="226"/>
      <c r="FT71" s="226"/>
      <c r="FU71" s="226"/>
      <c r="FV71" s="226"/>
      <c r="FW71" s="226"/>
      <c r="FX71" s="226"/>
      <c r="FY71" s="226"/>
      <c r="FZ71" s="226"/>
      <c r="GA71" s="226"/>
      <c r="GB71" s="226"/>
      <c r="GC71" s="226"/>
      <c r="GD71" s="226"/>
      <c r="GE71" s="226"/>
      <c r="GF71" s="226"/>
      <c r="GG71" s="226"/>
      <c r="GH71" s="226"/>
      <c r="GI71" s="226"/>
      <c r="GJ71" s="226"/>
      <c r="GK71" s="226"/>
      <c r="GL71" s="226"/>
      <c r="GM71" s="226"/>
      <c r="GN71" s="226"/>
      <c r="GO71" s="226"/>
      <c r="GP71" s="226"/>
      <c r="GQ71" s="226"/>
      <c r="GR71" s="226"/>
      <c r="GS71" s="226"/>
      <c r="GT71" s="226"/>
      <c r="GU71" s="226"/>
      <c r="GV71" s="226"/>
      <c r="GW71" s="226"/>
      <c r="GX71" s="226"/>
      <c r="GY71" s="226"/>
      <c r="GZ71" s="226"/>
      <c r="HA71" s="226"/>
      <c r="HB71" s="226"/>
      <c r="HC71" s="226"/>
      <c r="HD71" s="226"/>
      <c r="HE71" s="226"/>
      <c r="HF71" s="226"/>
      <c r="HG71" s="226"/>
      <c r="HH71" s="226"/>
      <c r="HI71" s="226"/>
      <c r="HJ71" s="226"/>
      <c r="HK71" s="226"/>
      <c r="HL71" s="226"/>
      <c r="HM71" s="226"/>
      <c r="HN71" s="226"/>
      <c r="HO71" s="226"/>
      <c r="HP71" s="226"/>
      <c r="HQ71" s="226"/>
      <c r="HR71" s="226"/>
      <c r="HS71" s="226"/>
      <c r="HT71" s="226"/>
      <c r="HU71" s="226"/>
      <c r="HV71" s="226"/>
      <c r="HW71" s="226"/>
      <c r="HX71" s="226"/>
      <c r="HY71" s="226"/>
      <c r="HZ71" s="226"/>
      <c r="IA71" s="226"/>
      <c r="IB71" s="226"/>
      <c r="IC71" s="226"/>
      <c r="ID71" s="226"/>
      <c r="IE71" s="226"/>
      <c r="IF71" s="226"/>
      <c r="IG71" s="226"/>
      <c r="IH71" s="226"/>
      <c r="II71" s="226"/>
      <c r="IJ71" s="226"/>
      <c r="IK71" s="226"/>
      <c r="IL71" s="226"/>
      <c r="IM71" s="226"/>
      <c r="IN71" s="226"/>
    </row>
    <row r="72" spans="1:10" ht="17.25" customHeight="1">
      <c r="A72" s="212" t="s">
        <v>497</v>
      </c>
      <c r="B72" s="213" t="s">
        <v>498</v>
      </c>
      <c r="C72" s="313">
        <f>C73+C74</f>
        <v>598.69</v>
      </c>
      <c r="D72" s="318">
        <f>C72/$C$100*1000</f>
        <v>491.45460515514696</v>
      </c>
      <c r="E72" s="334">
        <f>E73+E74</f>
        <v>343.88</v>
      </c>
      <c r="F72" s="320">
        <f>E72/$E$100*1000</f>
        <v>369.8191125545781</v>
      </c>
      <c r="G72" s="214">
        <f t="shared" si="2"/>
        <v>57.438741251732935</v>
      </c>
      <c r="H72" s="215">
        <f t="shared" si="3"/>
        <v>75.2499027733864</v>
      </c>
      <c r="I72" s="351">
        <f>C72/$C$98*100</f>
        <v>17.023381388710558</v>
      </c>
      <c r="J72" s="351">
        <f>E72/$E$98*100</f>
        <v>13.50785505846805</v>
      </c>
    </row>
    <row r="73" spans="1:248" ht="17.25" customHeight="1">
      <c r="A73" s="218" t="s">
        <v>499</v>
      </c>
      <c r="B73" s="219" t="s">
        <v>566</v>
      </c>
      <c r="C73" s="318">
        <v>427</v>
      </c>
      <c r="D73" s="318">
        <f>C73/$C$100*1000</f>
        <v>350.5171564603513</v>
      </c>
      <c r="E73" s="324">
        <v>244.25</v>
      </c>
      <c r="F73" s="320">
        <f>E73/$E$100*1000</f>
        <v>262.67395091734244</v>
      </c>
      <c r="G73" s="217">
        <f t="shared" si="2"/>
        <v>57.20140515222483</v>
      </c>
      <c r="H73" s="216">
        <f t="shared" si="3"/>
        <v>74.93897119613737</v>
      </c>
      <c r="I73" s="351">
        <f>C73/$C$72*100</f>
        <v>71.32238721207969</v>
      </c>
      <c r="J73" s="351">
        <f>E73/$E$72*100</f>
        <v>71.02768407584041</v>
      </c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6"/>
      <c r="EK73" s="206"/>
      <c r="EL73" s="206"/>
      <c r="EM73" s="206"/>
      <c r="EN73" s="206"/>
      <c r="EO73" s="206"/>
      <c r="EP73" s="206"/>
      <c r="EQ73" s="206"/>
      <c r="ER73" s="206"/>
      <c r="ES73" s="206"/>
      <c r="ET73" s="206"/>
      <c r="EU73" s="206"/>
      <c r="EV73" s="206"/>
      <c r="EW73" s="206"/>
      <c r="EX73" s="206"/>
      <c r="EY73" s="206"/>
      <c r="EZ73" s="206"/>
      <c r="FA73" s="206"/>
      <c r="FB73" s="206"/>
      <c r="FC73" s="206"/>
      <c r="FD73" s="206"/>
      <c r="FE73" s="206"/>
      <c r="FF73" s="206"/>
      <c r="FG73" s="206"/>
      <c r="FH73" s="206"/>
      <c r="FI73" s="206"/>
      <c r="FJ73" s="206"/>
      <c r="FK73" s="206"/>
      <c r="FL73" s="206"/>
      <c r="FM73" s="206"/>
      <c r="FN73" s="206"/>
      <c r="FO73" s="206"/>
      <c r="FP73" s="206"/>
      <c r="FQ73" s="206"/>
      <c r="FR73" s="206"/>
      <c r="FS73" s="206"/>
      <c r="FT73" s="206"/>
      <c r="FU73" s="206"/>
      <c r="FV73" s="206"/>
      <c r="FW73" s="206"/>
      <c r="FX73" s="206"/>
      <c r="FY73" s="206"/>
      <c r="FZ73" s="206"/>
      <c r="GA73" s="206"/>
      <c r="GB73" s="206"/>
      <c r="GC73" s="206"/>
      <c r="GD73" s="206"/>
      <c r="GE73" s="206"/>
      <c r="GF73" s="206"/>
      <c r="GG73" s="206"/>
      <c r="GH73" s="206"/>
      <c r="GI73" s="206"/>
      <c r="GJ73" s="206"/>
      <c r="GK73" s="206"/>
      <c r="GL73" s="206"/>
      <c r="GM73" s="206"/>
      <c r="GN73" s="206"/>
      <c r="GO73" s="206"/>
      <c r="GP73" s="206"/>
      <c r="GQ73" s="206"/>
      <c r="GR73" s="206"/>
      <c r="GS73" s="206"/>
      <c r="GT73" s="206"/>
      <c r="GU73" s="206"/>
      <c r="GV73" s="206"/>
      <c r="GW73" s="206"/>
      <c r="GX73" s="206"/>
      <c r="GY73" s="206"/>
      <c r="GZ73" s="206"/>
      <c r="HA73" s="206"/>
      <c r="HB73" s="206"/>
      <c r="HC73" s="206"/>
      <c r="HD73" s="206"/>
      <c r="HE73" s="206"/>
      <c r="HF73" s="206"/>
      <c r="HG73" s="206"/>
      <c r="HH73" s="206"/>
      <c r="HI73" s="206"/>
      <c r="HJ73" s="206"/>
      <c r="HK73" s="206"/>
      <c r="HL73" s="206"/>
      <c r="HM73" s="206"/>
      <c r="HN73" s="206"/>
      <c r="HO73" s="206"/>
      <c r="HP73" s="206"/>
      <c r="HQ73" s="206"/>
      <c r="HR73" s="206"/>
      <c r="HS73" s="206"/>
      <c r="HT73" s="206"/>
      <c r="HU73" s="206"/>
      <c r="HV73" s="206"/>
      <c r="HW73" s="206"/>
      <c r="HX73" s="206"/>
      <c r="HY73" s="206"/>
      <c r="HZ73" s="206"/>
      <c r="IA73" s="206"/>
      <c r="IB73" s="206"/>
      <c r="IC73" s="206"/>
      <c r="ID73" s="206"/>
      <c r="IE73" s="206"/>
      <c r="IF73" s="206"/>
      <c r="IG73" s="206"/>
      <c r="IH73" s="206"/>
      <c r="II73" s="206"/>
      <c r="IJ73" s="206"/>
      <c r="IK73" s="206"/>
      <c r="IL73" s="206"/>
      <c r="IM73" s="206"/>
      <c r="IN73" s="206"/>
    </row>
    <row r="74" spans="1:248" ht="16.5" customHeight="1">
      <c r="A74" s="218" t="s">
        <v>500</v>
      </c>
      <c r="B74" s="219" t="s">
        <v>567</v>
      </c>
      <c r="C74" s="318">
        <v>171.69</v>
      </c>
      <c r="D74" s="318">
        <f>C74/$C$100*1000</f>
        <v>140.9374486947956</v>
      </c>
      <c r="E74" s="323">
        <v>99.63</v>
      </c>
      <c r="F74" s="320">
        <f>E74/$E$100*1000</f>
        <v>107.14516163723572</v>
      </c>
      <c r="G74" s="217">
        <f t="shared" si="2"/>
        <v>58.02900576620653</v>
      </c>
      <c r="H74" s="216">
        <f t="shared" si="3"/>
        <v>76.02320222871487</v>
      </c>
      <c r="I74" s="351">
        <f>C74/$C$72*100</f>
        <v>28.677612787920285</v>
      </c>
      <c r="J74" s="351">
        <f>E74/$E$72*100</f>
        <v>28.97231592415959</v>
      </c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6"/>
      <c r="EE74" s="206"/>
      <c r="EF74" s="206"/>
      <c r="EG74" s="206"/>
      <c r="EH74" s="206"/>
      <c r="EI74" s="206"/>
      <c r="EJ74" s="206"/>
      <c r="EK74" s="206"/>
      <c r="EL74" s="206"/>
      <c r="EM74" s="206"/>
      <c r="EN74" s="206"/>
      <c r="EO74" s="206"/>
      <c r="EP74" s="206"/>
      <c r="EQ74" s="206"/>
      <c r="ER74" s="206"/>
      <c r="ES74" s="206"/>
      <c r="ET74" s="206"/>
      <c r="EU74" s="206"/>
      <c r="EV74" s="206"/>
      <c r="EW74" s="206"/>
      <c r="EX74" s="206"/>
      <c r="EY74" s="206"/>
      <c r="EZ74" s="206"/>
      <c r="FA74" s="206"/>
      <c r="FB74" s="206"/>
      <c r="FC74" s="206"/>
      <c r="FD74" s="206"/>
      <c r="FE74" s="206"/>
      <c r="FF74" s="206"/>
      <c r="FG74" s="206"/>
      <c r="FH74" s="206"/>
      <c r="FI74" s="206"/>
      <c r="FJ74" s="206"/>
      <c r="FK74" s="206"/>
      <c r="FL74" s="206"/>
      <c r="FM74" s="206"/>
      <c r="FN74" s="206"/>
      <c r="FO74" s="206"/>
      <c r="FP74" s="206"/>
      <c r="FQ74" s="206"/>
      <c r="FR74" s="206"/>
      <c r="FS74" s="206"/>
      <c r="FT74" s="206"/>
      <c r="FU74" s="206"/>
      <c r="FV74" s="206"/>
      <c r="FW74" s="206"/>
      <c r="FX74" s="206"/>
      <c r="FY74" s="206"/>
      <c r="FZ74" s="206"/>
      <c r="GA74" s="206"/>
      <c r="GB74" s="206"/>
      <c r="GC74" s="206"/>
      <c r="GD74" s="206"/>
      <c r="GE74" s="206"/>
      <c r="GF74" s="206"/>
      <c r="GG74" s="206"/>
      <c r="GH74" s="206"/>
      <c r="GI74" s="206"/>
      <c r="GJ74" s="206"/>
      <c r="GK74" s="206"/>
      <c r="GL74" s="206"/>
      <c r="GM74" s="206"/>
      <c r="GN74" s="206"/>
      <c r="GO74" s="206"/>
      <c r="GP74" s="206"/>
      <c r="GQ74" s="206"/>
      <c r="GR74" s="206"/>
      <c r="GS74" s="206"/>
      <c r="GT74" s="206"/>
      <c r="GU74" s="206"/>
      <c r="GV74" s="206"/>
      <c r="GW74" s="206"/>
      <c r="GX74" s="206"/>
      <c r="GY74" s="206"/>
      <c r="GZ74" s="206"/>
      <c r="HA74" s="206"/>
      <c r="HB74" s="206"/>
      <c r="HC74" s="206"/>
      <c r="HD74" s="206"/>
      <c r="HE74" s="206"/>
      <c r="HF74" s="206"/>
      <c r="HG74" s="206"/>
      <c r="HH74" s="206"/>
      <c r="HI74" s="206"/>
      <c r="HJ74" s="206"/>
      <c r="HK74" s="206"/>
      <c r="HL74" s="206"/>
      <c r="HM74" s="206"/>
      <c r="HN74" s="206"/>
      <c r="HO74" s="206"/>
      <c r="HP74" s="206"/>
      <c r="HQ74" s="206"/>
      <c r="HR74" s="206"/>
      <c r="HS74" s="206"/>
      <c r="HT74" s="206"/>
      <c r="HU74" s="206"/>
      <c r="HV74" s="206"/>
      <c r="HW74" s="206"/>
      <c r="HX74" s="206"/>
      <c r="HY74" s="206"/>
      <c r="HZ74" s="206"/>
      <c r="IA74" s="206"/>
      <c r="IB74" s="206"/>
      <c r="IC74" s="206"/>
      <c r="ID74" s="206"/>
      <c r="IE74" s="206"/>
      <c r="IF74" s="206"/>
      <c r="IG74" s="206"/>
      <c r="IH74" s="206"/>
      <c r="II74" s="206"/>
      <c r="IJ74" s="206"/>
      <c r="IK74" s="206"/>
      <c r="IL74" s="206"/>
      <c r="IM74" s="206"/>
      <c r="IN74" s="206"/>
    </row>
    <row r="75" spans="1:248" ht="16.5" customHeight="1">
      <c r="A75" s="218"/>
      <c r="B75" s="219" t="s">
        <v>568</v>
      </c>
      <c r="C75" s="318"/>
      <c r="D75" s="318"/>
      <c r="E75" s="323"/>
      <c r="F75" s="320"/>
      <c r="G75" s="366" t="e">
        <f aca="true" t="shared" si="8" ref="G75:G108">E75/C75*100</f>
        <v>#DIV/0!</v>
      </c>
      <c r="H75" s="367" t="e">
        <f aca="true" t="shared" si="9" ref="H75:H98">F75/D75*100</f>
        <v>#DIV/0!</v>
      </c>
      <c r="I75" s="351">
        <f>C75/$C$72*100</f>
        <v>0</v>
      </c>
      <c r="J75" s="351">
        <f>E75/$E$72*100</f>
        <v>0</v>
      </c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6"/>
      <c r="FG75" s="206"/>
      <c r="FH75" s="206"/>
      <c r="FI75" s="206"/>
      <c r="FJ75" s="206"/>
      <c r="FK75" s="206"/>
      <c r="FL75" s="206"/>
      <c r="FM75" s="206"/>
      <c r="FN75" s="206"/>
      <c r="FO75" s="206"/>
      <c r="FP75" s="206"/>
      <c r="FQ75" s="206"/>
      <c r="FR75" s="206"/>
      <c r="FS75" s="206"/>
      <c r="FT75" s="206"/>
      <c r="FU75" s="206"/>
      <c r="FV75" s="206"/>
      <c r="FW75" s="206"/>
      <c r="FX75" s="206"/>
      <c r="FY75" s="206"/>
      <c r="FZ75" s="206"/>
      <c r="GA75" s="206"/>
      <c r="GB75" s="206"/>
      <c r="GC75" s="206"/>
      <c r="GD75" s="206"/>
      <c r="GE75" s="206"/>
      <c r="GF75" s="206"/>
      <c r="GG75" s="206"/>
      <c r="GH75" s="206"/>
      <c r="GI75" s="206"/>
      <c r="GJ75" s="206"/>
      <c r="GK75" s="206"/>
      <c r="GL75" s="206"/>
      <c r="GM75" s="206"/>
      <c r="GN75" s="206"/>
      <c r="GO75" s="206"/>
      <c r="GP75" s="206"/>
      <c r="GQ75" s="206"/>
      <c r="GR75" s="206"/>
      <c r="GS75" s="206"/>
      <c r="GT75" s="206"/>
      <c r="GU75" s="206"/>
      <c r="GV75" s="206"/>
      <c r="GW75" s="206"/>
      <c r="GX75" s="206"/>
      <c r="GY75" s="206"/>
      <c r="GZ75" s="206"/>
      <c r="HA75" s="206"/>
      <c r="HB75" s="206"/>
      <c r="HC75" s="206"/>
      <c r="HD75" s="206"/>
      <c r="HE75" s="206"/>
      <c r="HF75" s="206"/>
      <c r="HG75" s="206"/>
      <c r="HH75" s="206"/>
      <c r="HI75" s="206"/>
      <c r="HJ75" s="206"/>
      <c r="HK75" s="206"/>
      <c r="HL75" s="206"/>
      <c r="HM75" s="206"/>
      <c r="HN75" s="206"/>
      <c r="HO75" s="206"/>
      <c r="HP75" s="206"/>
      <c r="HQ75" s="206"/>
      <c r="HR75" s="206"/>
      <c r="HS75" s="206"/>
      <c r="HT75" s="206"/>
      <c r="HU75" s="206"/>
      <c r="HV75" s="206"/>
      <c r="HW75" s="206"/>
      <c r="HX75" s="206"/>
      <c r="HY75" s="206"/>
      <c r="HZ75" s="206"/>
      <c r="IA75" s="206"/>
      <c r="IB75" s="206"/>
      <c r="IC75" s="206"/>
      <c r="ID75" s="206"/>
      <c r="IE75" s="206"/>
      <c r="IF75" s="206"/>
      <c r="IG75" s="206"/>
      <c r="IH75" s="206"/>
      <c r="II75" s="206"/>
      <c r="IJ75" s="206"/>
      <c r="IK75" s="206"/>
      <c r="IL75" s="206"/>
      <c r="IM75" s="206"/>
      <c r="IN75" s="206"/>
    </row>
    <row r="76" spans="1:10" ht="27.75" customHeight="1">
      <c r="A76" s="218" t="s">
        <v>501</v>
      </c>
      <c r="B76" s="220" t="s">
        <v>502</v>
      </c>
      <c r="C76" s="318"/>
      <c r="D76" s="318"/>
      <c r="E76" s="323"/>
      <c r="F76" s="320"/>
      <c r="G76" s="366" t="e">
        <f t="shared" si="8"/>
        <v>#DIV/0!</v>
      </c>
      <c r="H76" s="367" t="e">
        <f t="shared" si="9"/>
        <v>#DIV/0!</v>
      </c>
      <c r="I76" s="352">
        <f>C76/$C$98*100</f>
        <v>0</v>
      </c>
      <c r="J76" s="352">
        <f>E76/$E$98*100</f>
        <v>0</v>
      </c>
    </row>
    <row r="77" spans="1:10" ht="19.5" customHeight="1">
      <c r="A77" s="218" t="s">
        <v>503</v>
      </c>
      <c r="B77" s="220" t="s">
        <v>504</v>
      </c>
      <c r="C77" s="318"/>
      <c r="D77" s="318">
        <f>C77/$C$100*1000</f>
        <v>0</v>
      </c>
      <c r="E77" s="324"/>
      <c r="F77" s="320"/>
      <c r="G77" s="366" t="e">
        <f t="shared" si="8"/>
        <v>#DIV/0!</v>
      </c>
      <c r="H77" s="367" t="e">
        <f t="shared" si="9"/>
        <v>#DIV/0!</v>
      </c>
      <c r="I77" s="352">
        <f>C77/$C$98*100</f>
        <v>0</v>
      </c>
      <c r="J77" s="352">
        <f>E77/$E$98*100</f>
        <v>0</v>
      </c>
    </row>
    <row r="78" spans="1:248" ht="22.5" customHeight="1">
      <c r="A78" s="206" t="s">
        <v>505</v>
      </c>
      <c r="B78" s="220" t="s">
        <v>506</v>
      </c>
      <c r="C78" s="333">
        <f>C79+C80</f>
        <v>0</v>
      </c>
      <c r="D78" s="318">
        <f>C78/$C$100*1000</f>
        <v>0</v>
      </c>
      <c r="E78" s="335">
        <f>E79+E80</f>
        <v>6.02</v>
      </c>
      <c r="F78" s="320">
        <f>E78/$E$100*1000</f>
        <v>6.474092874196114</v>
      </c>
      <c r="G78" s="366" t="e">
        <f t="shared" si="8"/>
        <v>#DIV/0!</v>
      </c>
      <c r="H78" s="367" t="e">
        <f t="shared" si="9"/>
        <v>#DIV/0!</v>
      </c>
      <c r="I78" s="352">
        <f>C78/$C$98*100</f>
        <v>0</v>
      </c>
      <c r="J78" s="352">
        <f>E78/$E$98*100</f>
        <v>0.2364699530416938</v>
      </c>
      <c r="K78" s="229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228"/>
      <c r="DT78" s="228"/>
      <c r="DU78" s="228"/>
      <c r="DV78" s="228"/>
      <c r="DW78" s="228"/>
      <c r="DX78" s="228"/>
      <c r="DY78" s="228"/>
      <c r="DZ78" s="228"/>
      <c r="EA78" s="228"/>
      <c r="EB78" s="228"/>
      <c r="EC78" s="228"/>
      <c r="ED78" s="228"/>
      <c r="EE78" s="228"/>
      <c r="EF78" s="228"/>
      <c r="EG78" s="228"/>
      <c r="EH78" s="228"/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8"/>
      <c r="EV78" s="228"/>
      <c r="EW78" s="228"/>
      <c r="EX78" s="228"/>
      <c r="EY78" s="228"/>
      <c r="EZ78" s="228"/>
      <c r="FA78" s="228"/>
      <c r="FB78" s="228"/>
      <c r="FC78" s="228"/>
      <c r="FD78" s="228"/>
      <c r="FE78" s="228"/>
      <c r="FF78" s="228"/>
      <c r="FG78" s="228"/>
      <c r="FH78" s="228"/>
      <c r="FI78" s="228"/>
      <c r="FJ78" s="228"/>
      <c r="FK78" s="228"/>
      <c r="FL78" s="228"/>
      <c r="FM78" s="228"/>
      <c r="FN78" s="228"/>
      <c r="FO78" s="228"/>
      <c r="FP78" s="228"/>
      <c r="FQ78" s="228"/>
      <c r="FR78" s="228"/>
      <c r="FS78" s="228"/>
      <c r="FT78" s="228"/>
      <c r="FU78" s="228"/>
      <c r="FV78" s="228"/>
      <c r="FW78" s="228"/>
      <c r="FX78" s="228"/>
      <c r="FY78" s="228"/>
      <c r="FZ78" s="228"/>
      <c r="GA78" s="228"/>
      <c r="GB78" s="228"/>
      <c r="GC78" s="228"/>
      <c r="GD78" s="228"/>
      <c r="GE78" s="228"/>
      <c r="GF78" s="228"/>
      <c r="GG78" s="228"/>
      <c r="GH78" s="228"/>
      <c r="GI78" s="228"/>
      <c r="GJ78" s="228"/>
      <c r="GK78" s="228"/>
      <c r="GL78" s="228"/>
      <c r="GM78" s="228"/>
      <c r="GN78" s="228"/>
      <c r="GO78" s="228"/>
      <c r="GP78" s="228"/>
      <c r="GQ78" s="228"/>
      <c r="GR78" s="228"/>
      <c r="GS78" s="228"/>
      <c r="GT78" s="228"/>
      <c r="GU78" s="228"/>
      <c r="GV78" s="228"/>
      <c r="GW78" s="228"/>
      <c r="GX78" s="228"/>
      <c r="GY78" s="228"/>
      <c r="GZ78" s="228"/>
      <c r="HA78" s="228"/>
      <c r="HB78" s="228"/>
      <c r="HC78" s="228"/>
      <c r="HD78" s="228"/>
      <c r="HE78" s="228"/>
      <c r="HF78" s="228"/>
      <c r="HG78" s="228"/>
      <c r="HH78" s="228"/>
      <c r="HI78" s="228"/>
      <c r="HJ78" s="228"/>
      <c r="HK78" s="228"/>
      <c r="HL78" s="228"/>
      <c r="HM78" s="228"/>
      <c r="HN78" s="228"/>
      <c r="HO78" s="228"/>
      <c r="HP78" s="228"/>
      <c r="HQ78" s="228"/>
      <c r="HR78" s="228"/>
      <c r="HS78" s="228"/>
      <c r="HT78" s="228"/>
      <c r="HU78" s="228"/>
      <c r="HV78" s="228"/>
      <c r="HW78" s="228"/>
      <c r="HX78" s="228"/>
      <c r="HY78" s="228"/>
      <c r="HZ78" s="228"/>
      <c r="IA78" s="228"/>
      <c r="IB78" s="228"/>
      <c r="IC78" s="228"/>
      <c r="ID78" s="228"/>
      <c r="IE78" s="228"/>
      <c r="IF78" s="228"/>
      <c r="IG78" s="228"/>
      <c r="IH78" s="228"/>
      <c r="II78" s="228"/>
      <c r="IJ78" s="228"/>
      <c r="IK78" s="228"/>
      <c r="IL78" s="228"/>
      <c r="IM78" s="228"/>
      <c r="IN78" s="228"/>
    </row>
    <row r="79" spans="1:248" ht="17.25" customHeight="1">
      <c r="A79" s="230" t="s">
        <v>507</v>
      </c>
      <c r="B79" s="221" t="s">
        <v>508</v>
      </c>
      <c r="C79" s="333"/>
      <c r="D79" s="318">
        <f>C79/$C$100*1000</f>
        <v>0</v>
      </c>
      <c r="E79" s="333">
        <v>6.02</v>
      </c>
      <c r="F79" s="320"/>
      <c r="G79" s="366" t="e">
        <f t="shared" si="8"/>
        <v>#DIV/0!</v>
      </c>
      <c r="H79" s="367" t="e">
        <f t="shared" si="9"/>
        <v>#DIV/0!</v>
      </c>
      <c r="I79" s="358"/>
      <c r="J79" s="358"/>
      <c r="K79" s="229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28"/>
      <c r="FG79" s="228"/>
      <c r="FH79" s="228"/>
      <c r="FI79" s="228"/>
      <c r="FJ79" s="228"/>
      <c r="FK79" s="228"/>
      <c r="FL79" s="228"/>
      <c r="FM79" s="228"/>
      <c r="FN79" s="228"/>
      <c r="FO79" s="228"/>
      <c r="FP79" s="228"/>
      <c r="FQ79" s="228"/>
      <c r="FR79" s="228"/>
      <c r="FS79" s="228"/>
      <c r="FT79" s="228"/>
      <c r="FU79" s="228"/>
      <c r="FV79" s="228"/>
      <c r="FW79" s="228"/>
      <c r="FX79" s="228"/>
      <c r="FY79" s="228"/>
      <c r="FZ79" s="228"/>
      <c r="GA79" s="228"/>
      <c r="GB79" s="228"/>
      <c r="GC79" s="228"/>
      <c r="GD79" s="228"/>
      <c r="GE79" s="228"/>
      <c r="GF79" s="228"/>
      <c r="GG79" s="228"/>
      <c r="GH79" s="228"/>
      <c r="GI79" s="228"/>
      <c r="GJ79" s="228"/>
      <c r="GK79" s="228"/>
      <c r="GL79" s="228"/>
      <c r="GM79" s="228"/>
      <c r="GN79" s="228"/>
      <c r="GO79" s="228"/>
      <c r="GP79" s="228"/>
      <c r="GQ79" s="228"/>
      <c r="GR79" s="228"/>
      <c r="GS79" s="228"/>
      <c r="GT79" s="228"/>
      <c r="GU79" s="228"/>
      <c r="GV79" s="228"/>
      <c r="GW79" s="228"/>
      <c r="GX79" s="228"/>
      <c r="GY79" s="228"/>
      <c r="GZ79" s="228"/>
      <c r="HA79" s="228"/>
      <c r="HB79" s="228"/>
      <c r="HC79" s="228"/>
      <c r="HD79" s="228"/>
      <c r="HE79" s="228"/>
      <c r="HF79" s="228"/>
      <c r="HG79" s="228"/>
      <c r="HH79" s="228"/>
      <c r="HI79" s="228"/>
      <c r="HJ79" s="228"/>
      <c r="HK79" s="228"/>
      <c r="HL79" s="228"/>
      <c r="HM79" s="228"/>
      <c r="HN79" s="228"/>
      <c r="HO79" s="228"/>
      <c r="HP79" s="228"/>
      <c r="HQ79" s="228"/>
      <c r="HR79" s="228"/>
      <c r="HS79" s="228"/>
      <c r="HT79" s="228"/>
      <c r="HU79" s="228"/>
      <c r="HV79" s="228"/>
      <c r="HW79" s="228"/>
      <c r="HX79" s="228"/>
      <c r="HY79" s="228"/>
      <c r="HZ79" s="228"/>
      <c r="IA79" s="228"/>
      <c r="IB79" s="228"/>
      <c r="IC79" s="228"/>
      <c r="ID79" s="228"/>
      <c r="IE79" s="228"/>
      <c r="IF79" s="228"/>
      <c r="IG79" s="228"/>
      <c r="IH79" s="228"/>
      <c r="II79" s="228"/>
      <c r="IJ79" s="228"/>
      <c r="IK79" s="228"/>
      <c r="IL79" s="228"/>
      <c r="IM79" s="228"/>
      <c r="IN79" s="228"/>
    </row>
    <row r="80" spans="1:248" ht="17.25" customHeight="1">
      <c r="A80" s="230" t="s">
        <v>509</v>
      </c>
      <c r="B80" s="221" t="s">
        <v>510</v>
      </c>
      <c r="C80" s="333"/>
      <c r="D80" s="318"/>
      <c r="E80" s="335"/>
      <c r="F80" s="320"/>
      <c r="G80" s="366" t="e">
        <f t="shared" si="8"/>
        <v>#DIV/0!</v>
      </c>
      <c r="H80" s="367" t="e">
        <f t="shared" si="9"/>
        <v>#DIV/0!</v>
      </c>
      <c r="I80" s="358"/>
      <c r="J80" s="358"/>
      <c r="K80" s="229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  <c r="CF80" s="228"/>
      <c r="CG80" s="228"/>
      <c r="CH80" s="228"/>
      <c r="CI80" s="228"/>
      <c r="CJ80" s="228"/>
      <c r="CK80" s="228"/>
      <c r="CL80" s="228"/>
      <c r="CM80" s="228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  <c r="DF80" s="228"/>
      <c r="DG80" s="228"/>
      <c r="DH80" s="228"/>
      <c r="DI80" s="228"/>
      <c r="DJ80" s="228"/>
      <c r="DK80" s="228"/>
      <c r="DL80" s="228"/>
      <c r="DM80" s="228"/>
      <c r="DN80" s="228"/>
      <c r="DO80" s="228"/>
      <c r="DP80" s="228"/>
      <c r="DQ80" s="228"/>
      <c r="DR80" s="228"/>
      <c r="DS80" s="228"/>
      <c r="DT80" s="228"/>
      <c r="DU80" s="228"/>
      <c r="DV80" s="228"/>
      <c r="DW80" s="228"/>
      <c r="DX80" s="228"/>
      <c r="DY80" s="228"/>
      <c r="DZ80" s="228"/>
      <c r="EA80" s="228"/>
      <c r="EB80" s="228"/>
      <c r="EC80" s="228"/>
      <c r="ED80" s="228"/>
      <c r="EE80" s="228"/>
      <c r="EF80" s="228"/>
      <c r="EG80" s="228"/>
      <c r="EH80" s="228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8"/>
      <c r="EV80" s="228"/>
      <c r="EW80" s="228"/>
      <c r="EX80" s="228"/>
      <c r="EY80" s="228"/>
      <c r="EZ80" s="228"/>
      <c r="FA80" s="228"/>
      <c r="FB80" s="228"/>
      <c r="FC80" s="228"/>
      <c r="FD80" s="228"/>
      <c r="FE80" s="228"/>
      <c r="FF80" s="228"/>
      <c r="FG80" s="228"/>
      <c r="FH80" s="228"/>
      <c r="FI80" s="228"/>
      <c r="FJ80" s="228"/>
      <c r="FK80" s="228"/>
      <c r="FL80" s="228"/>
      <c r="FM80" s="228"/>
      <c r="FN80" s="228"/>
      <c r="FO80" s="228"/>
      <c r="FP80" s="228"/>
      <c r="FQ80" s="228"/>
      <c r="FR80" s="228"/>
      <c r="FS80" s="228"/>
      <c r="FT80" s="228"/>
      <c r="FU80" s="228"/>
      <c r="FV80" s="228"/>
      <c r="FW80" s="228"/>
      <c r="FX80" s="228"/>
      <c r="FY80" s="228"/>
      <c r="FZ80" s="228"/>
      <c r="GA80" s="228"/>
      <c r="GB80" s="228"/>
      <c r="GC80" s="228"/>
      <c r="GD80" s="228"/>
      <c r="GE80" s="228"/>
      <c r="GF80" s="228"/>
      <c r="GG80" s="228"/>
      <c r="GH80" s="228"/>
      <c r="GI80" s="228"/>
      <c r="GJ80" s="228"/>
      <c r="GK80" s="228"/>
      <c r="GL80" s="228"/>
      <c r="GM80" s="228"/>
      <c r="GN80" s="228"/>
      <c r="GO80" s="228"/>
      <c r="GP80" s="228"/>
      <c r="GQ80" s="228"/>
      <c r="GR80" s="228"/>
      <c r="GS80" s="228"/>
      <c r="GT80" s="228"/>
      <c r="GU80" s="228"/>
      <c r="GV80" s="228"/>
      <c r="GW80" s="228"/>
      <c r="GX80" s="228"/>
      <c r="GY80" s="228"/>
      <c r="GZ80" s="228"/>
      <c r="HA80" s="228"/>
      <c r="HB80" s="228"/>
      <c r="HC80" s="228"/>
      <c r="HD80" s="228"/>
      <c r="HE80" s="228"/>
      <c r="HF80" s="228"/>
      <c r="HG80" s="228"/>
      <c r="HH80" s="228"/>
      <c r="HI80" s="228"/>
      <c r="HJ80" s="228"/>
      <c r="HK80" s="228"/>
      <c r="HL80" s="228"/>
      <c r="HM80" s="228"/>
      <c r="HN80" s="228"/>
      <c r="HO80" s="228"/>
      <c r="HP80" s="228"/>
      <c r="HQ80" s="228"/>
      <c r="HR80" s="228"/>
      <c r="HS80" s="228"/>
      <c r="HT80" s="228"/>
      <c r="HU80" s="228"/>
      <c r="HV80" s="228"/>
      <c r="HW80" s="228"/>
      <c r="HX80" s="228"/>
      <c r="HY80" s="228"/>
      <c r="HZ80" s="228"/>
      <c r="IA80" s="228"/>
      <c r="IB80" s="228"/>
      <c r="IC80" s="228"/>
      <c r="ID80" s="228"/>
      <c r="IE80" s="228"/>
      <c r="IF80" s="228"/>
      <c r="IG80" s="228"/>
      <c r="IH80" s="228"/>
      <c r="II80" s="228"/>
      <c r="IJ80" s="228"/>
      <c r="IK80" s="228"/>
      <c r="IL80" s="228"/>
      <c r="IM80" s="228"/>
      <c r="IN80" s="228"/>
    </row>
    <row r="81" spans="1:10" ht="21" customHeight="1">
      <c r="A81" s="218" t="s">
        <v>505</v>
      </c>
      <c r="B81" s="220" t="s">
        <v>511</v>
      </c>
      <c r="C81" s="318">
        <f>C82+C83+C84+C85+C86</f>
        <v>0</v>
      </c>
      <c r="D81" s="318">
        <f>C81/$C$100*1000</f>
        <v>0</v>
      </c>
      <c r="E81" s="323">
        <f>E82+E83+E84+E85+E86</f>
        <v>0</v>
      </c>
      <c r="F81" s="320">
        <f>E81/$E$100*1000</f>
        <v>0</v>
      </c>
      <c r="G81" s="366" t="e">
        <f t="shared" si="8"/>
        <v>#DIV/0!</v>
      </c>
      <c r="H81" s="367" t="e">
        <f t="shared" si="9"/>
        <v>#DIV/0!</v>
      </c>
      <c r="I81" s="352">
        <f>C81/$C$98*100</f>
        <v>0</v>
      </c>
      <c r="J81" s="352">
        <f>E81/$E$98*100</f>
        <v>0</v>
      </c>
    </row>
    <row r="82" spans="1:248" ht="18" customHeight="1">
      <c r="A82" s="230" t="s">
        <v>512</v>
      </c>
      <c r="B82" s="231" t="s">
        <v>513</v>
      </c>
      <c r="C82" s="333"/>
      <c r="D82" s="318"/>
      <c r="E82" s="335"/>
      <c r="F82" s="320"/>
      <c r="G82" s="366" t="e">
        <f t="shared" si="8"/>
        <v>#DIV/0!</v>
      </c>
      <c r="H82" s="367" t="e">
        <f t="shared" si="9"/>
        <v>#DIV/0!</v>
      </c>
      <c r="I82" s="359"/>
      <c r="J82" s="359"/>
      <c r="K82" s="229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28"/>
      <c r="DT82" s="228"/>
      <c r="DU82" s="228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8"/>
      <c r="EH82" s="228"/>
      <c r="EI82" s="228"/>
      <c r="EJ82" s="228"/>
      <c r="EK82" s="228"/>
      <c r="EL82" s="228"/>
      <c r="EM82" s="228"/>
      <c r="EN82" s="228"/>
      <c r="EO82" s="228"/>
      <c r="EP82" s="228"/>
      <c r="EQ82" s="228"/>
      <c r="ER82" s="228"/>
      <c r="ES82" s="228"/>
      <c r="ET82" s="228"/>
      <c r="EU82" s="228"/>
      <c r="EV82" s="228"/>
      <c r="EW82" s="228"/>
      <c r="EX82" s="228"/>
      <c r="EY82" s="228"/>
      <c r="EZ82" s="228"/>
      <c r="FA82" s="228"/>
      <c r="FB82" s="228"/>
      <c r="FC82" s="228"/>
      <c r="FD82" s="228"/>
      <c r="FE82" s="228"/>
      <c r="FF82" s="228"/>
      <c r="FG82" s="228"/>
      <c r="FH82" s="228"/>
      <c r="FI82" s="228"/>
      <c r="FJ82" s="228"/>
      <c r="FK82" s="228"/>
      <c r="FL82" s="228"/>
      <c r="FM82" s="228"/>
      <c r="FN82" s="228"/>
      <c r="FO82" s="228"/>
      <c r="FP82" s="228"/>
      <c r="FQ82" s="228"/>
      <c r="FR82" s="228"/>
      <c r="FS82" s="228"/>
      <c r="FT82" s="228"/>
      <c r="FU82" s="228"/>
      <c r="FV82" s="228"/>
      <c r="FW82" s="228"/>
      <c r="FX82" s="228"/>
      <c r="FY82" s="228"/>
      <c r="FZ82" s="228"/>
      <c r="GA82" s="228"/>
      <c r="GB82" s="228"/>
      <c r="GC82" s="228"/>
      <c r="GD82" s="228"/>
      <c r="GE82" s="228"/>
      <c r="GF82" s="228"/>
      <c r="GG82" s="228"/>
      <c r="GH82" s="228"/>
      <c r="GI82" s="228"/>
      <c r="GJ82" s="228"/>
      <c r="GK82" s="228"/>
      <c r="GL82" s="228"/>
      <c r="GM82" s="228"/>
      <c r="GN82" s="228"/>
      <c r="GO82" s="228"/>
      <c r="GP82" s="228"/>
      <c r="GQ82" s="228"/>
      <c r="GR82" s="228"/>
      <c r="GS82" s="228"/>
      <c r="GT82" s="228"/>
      <c r="GU82" s="228"/>
      <c r="GV82" s="228"/>
      <c r="GW82" s="228"/>
      <c r="GX82" s="228"/>
      <c r="GY82" s="228"/>
      <c r="GZ82" s="228"/>
      <c r="HA82" s="228"/>
      <c r="HB82" s="228"/>
      <c r="HC82" s="228"/>
      <c r="HD82" s="228"/>
      <c r="HE82" s="228"/>
      <c r="HF82" s="228"/>
      <c r="HG82" s="228"/>
      <c r="HH82" s="228"/>
      <c r="HI82" s="228"/>
      <c r="HJ82" s="228"/>
      <c r="HK82" s="228"/>
      <c r="HL82" s="228"/>
      <c r="HM82" s="228"/>
      <c r="HN82" s="228"/>
      <c r="HO82" s="228"/>
      <c r="HP82" s="228"/>
      <c r="HQ82" s="228"/>
      <c r="HR82" s="228"/>
      <c r="HS82" s="228"/>
      <c r="HT82" s="228"/>
      <c r="HU82" s="228"/>
      <c r="HV82" s="228"/>
      <c r="HW82" s="228"/>
      <c r="HX82" s="228"/>
      <c r="HY82" s="228"/>
      <c r="HZ82" s="228"/>
      <c r="IA82" s="228"/>
      <c r="IB82" s="228"/>
      <c r="IC82" s="228"/>
      <c r="ID82" s="228"/>
      <c r="IE82" s="228"/>
      <c r="IF82" s="228"/>
      <c r="IG82" s="228"/>
      <c r="IH82" s="228"/>
      <c r="II82" s="228"/>
      <c r="IJ82" s="228"/>
      <c r="IK82" s="228"/>
      <c r="IL82" s="228"/>
      <c r="IM82" s="228"/>
      <c r="IN82" s="228"/>
    </row>
    <row r="83" spans="1:248" ht="16.5" customHeight="1">
      <c r="A83" s="230" t="s">
        <v>514</v>
      </c>
      <c r="B83" s="231" t="s">
        <v>515</v>
      </c>
      <c r="C83" s="333"/>
      <c r="D83" s="318"/>
      <c r="E83" s="335"/>
      <c r="F83" s="320"/>
      <c r="G83" s="366" t="e">
        <f t="shared" si="8"/>
        <v>#DIV/0!</v>
      </c>
      <c r="H83" s="367" t="e">
        <f t="shared" si="9"/>
        <v>#DIV/0!</v>
      </c>
      <c r="I83" s="360"/>
      <c r="J83" s="360"/>
      <c r="K83" s="229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8"/>
      <c r="CG83" s="228"/>
      <c r="CH83" s="228"/>
      <c r="CI83" s="228"/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8"/>
      <c r="DA83" s="228"/>
      <c r="DB83" s="228"/>
      <c r="DC83" s="228"/>
      <c r="DD83" s="228"/>
      <c r="DE83" s="228"/>
      <c r="DF83" s="228"/>
      <c r="DG83" s="228"/>
      <c r="DH83" s="228"/>
      <c r="DI83" s="228"/>
      <c r="DJ83" s="228"/>
      <c r="DK83" s="228"/>
      <c r="DL83" s="228"/>
      <c r="DM83" s="228"/>
      <c r="DN83" s="228"/>
      <c r="DO83" s="228"/>
      <c r="DP83" s="228"/>
      <c r="DQ83" s="228"/>
      <c r="DR83" s="228"/>
      <c r="DS83" s="228"/>
      <c r="DT83" s="228"/>
      <c r="DU83" s="228"/>
      <c r="DV83" s="228"/>
      <c r="DW83" s="228"/>
      <c r="DX83" s="228"/>
      <c r="DY83" s="228"/>
      <c r="DZ83" s="228"/>
      <c r="EA83" s="228"/>
      <c r="EB83" s="228"/>
      <c r="EC83" s="228"/>
      <c r="ED83" s="228"/>
      <c r="EE83" s="228"/>
      <c r="EF83" s="228"/>
      <c r="EG83" s="228"/>
      <c r="EH83" s="228"/>
      <c r="EI83" s="228"/>
      <c r="EJ83" s="228"/>
      <c r="EK83" s="228"/>
      <c r="EL83" s="228"/>
      <c r="EM83" s="228"/>
      <c r="EN83" s="228"/>
      <c r="EO83" s="228"/>
      <c r="EP83" s="228"/>
      <c r="EQ83" s="228"/>
      <c r="ER83" s="228"/>
      <c r="ES83" s="228"/>
      <c r="ET83" s="228"/>
      <c r="EU83" s="228"/>
      <c r="EV83" s="228"/>
      <c r="EW83" s="228"/>
      <c r="EX83" s="228"/>
      <c r="EY83" s="228"/>
      <c r="EZ83" s="228"/>
      <c r="FA83" s="228"/>
      <c r="FB83" s="228"/>
      <c r="FC83" s="228"/>
      <c r="FD83" s="228"/>
      <c r="FE83" s="228"/>
      <c r="FF83" s="228"/>
      <c r="FG83" s="228"/>
      <c r="FH83" s="228"/>
      <c r="FI83" s="228"/>
      <c r="FJ83" s="228"/>
      <c r="FK83" s="228"/>
      <c r="FL83" s="228"/>
      <c r="FM83" s="228"/>
      <c r="FN83" s="228"/>
      <c r="FO83" s="228"/>
      <c r="FP83" s="228"/>
      <c r="FQ83" s="228"/>
      <c r="FR83" s="228"/>
      <c r="FS83" s="228"/>
      <c r="FT83" s="228"/>
      <c r="FU83" s="228"/>
      <c r="FV83" s="228"/>
      <c r="FW83" s="228"/>
      <c r="FX83" s="228"/>
      <c r="FY83" s="228"/>
      <c r="FZ83" s="228"/>
      <c r="GA83" s="228"/>
      <c r="GB83" s="228"/>
      <c r="GC83" s="228"/>
      <c r="GD83" s="228"/>
      <c r="GE83" s="228"/>
      <c r="GF83" s="228"/>
      <c r="GG83" s="228"/>
      <c r="GH83" s="228"/>
      <c r="GI83" s="228"/>
      <c r="GJ83" s="228"/>
      <c r="GK83" s="228"/>
      <c r="GL83" s="228"/>
      <c r="GM83" s="228"/>
      <c r="GN83" s="228"/>
      <c r="GO83" s="228"/>
      <c r="GP83" s="228"/>
      <c r="GQ83" s="228"/>
      <c r="GR83" s="228"/>
      <c r="GS83" s="228"/>
      <c r="GT83" s="228"/>
      <c r="GU83" s="228"/>
      <c r="GV83" s="228"/>
      <c r="GW83" s="228"/>
      <c r="GX83" s="228"/>
      <c r="GY83" s="228"/>
      <c r="GZ83" s="228"/>
      <c r="HA83" s="228"/>
      <c r="HB83" s="228"/>
      <c r="HC83" s="228"/>
      <c r="HD83" s="228"/>
      <c r="HE83" s="228"/>
      <c r="HF83" s="228"/>
      <c r="HG83" s="228"/>
      <c r="HH83" s="228"/>
      <c r="HI83" s="228"/>
      <c r="HJ83" s="228"/>
      <c r="HK83" s="228"/>
      <c r="HL83" s="228"/>
      <c r="HM83" s="228"/>
      <c r="HN83" s="228"/>
      <c r="HO83" s="228"/>
      <c r="HP83" s="228"/>
      <c r="HQ83" s="228"/>
      <c r="HR83" s="228"/>
      <c r="HS83" s="228"/>
      <c r="HT83" s="228"/>
      <c r="HU83" s="228"/>
      <c r="HV83" s="228"/>
      <c r="HW83" s="228"/>
      <c r="HX83" s="228"/>
      <c r="HY83" s="228"/>
      <c r="HZ83" s="228"/>
      <c r="IA83" s="228"/>
      <c r="IB83" s="228"/>
      <c r="IC83" s="228"/>
      <c r="ID83" s="228"/>
      <c r="IE83" s="228"/>
      <c r="IF83" s="228"/>
      <c r="IG83" s="228"/>
      <c r="IH83" s="228"/>
      <c r="II83" s="228"/>
      <c r="IJ83" s="228"/>
      <c r="IK83" s="228"/>
      <c r="IL83" s="228"/>
      <c r="IM83" s="228"/>
      <c r="IN83" s="228"/>
    </row>
    <row r="84" spans="1:248" ht="16.5" customHeight="1">
      <c r="A84" s="230" t="s">
        <v>516</v>
      </c>
      <c r="B84" s="231" t="s">
        <v>517</v>
      </c>
      <c r="C84" s="333"/>
      <c r="D84" s="318"/>
      <c r="E84" s="335"/>
      <c r="F84" s="320"/>
      <c r="G84" s="366" t="e">
        <f t="shared" si="8"/>
        <v>#DIV/0!</v>
      </c>
      <c r="H84" s="367" t="e">
        <f t="shared" si="9"/>
        <v>#DIV/0!</v>
      </c>
      <c r="I84" s="360"/>
      <c r="J84" s="360"/>
      <c r="K84" s="229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/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28"/>
      <c r="DB84" s="228"/>
      <c r="DC84" s="228"/>
      <c r="DD84" s="228"/>
      <c r="DE84" s="228"/>
      <c r="DF84" s="228"/>
      <c r="DG84" s="228"/>
      <c r="DH84" s="228"/>
      <c r="DI84" s="228"/>
      <c r="DJ84" s="228"/>
      <c r="DK84" s="228"/>
      <c r="DL84" s="228"/>
      <c r="DM84" s="228"/>
      <c r="DN84" s="228"/>
      <c r="DO84" s="228"/>
      <c r="DP84" s="228"/>
      <c r="DQ84" s="228"/>
      <c r="DR84" s="228"/>
      <c r="DS84" s="228"/>
      <c r="DT84" s="228"/>
      <c r="DU84" s="228"/>
      <c r="DV84" s="228"/>
      <c r="DW84" s="228"/>
      <c r="DX84" s="228"/>
      <c r="DY84" s="228"/>
      <c r="DZ84" s="228"/>
      <c r="EA84" s="228"/>
      <c r="EB84" s="228"/>
      <c r="EC84" s="228"/>
      <c r="ED84" s="228"/>
      <c r="EE84" s="228"/>
      <c r="EF84" s="228"/>
      <c r="EG84" s="228"/>
      <c r="EH84" s="228"/>
      <c r="EI84" s="228"/>
      <c r="EJ84" s="228"/>
      <c r="EK84" s="228"/>
      <c r="EL84" s="228"/>
      <c r="EM84" s="228"/>
      <c r="EN84" s="228"/>
      <c r="EO84" s="228"/>
      <c r="EP84" s="228"/>
      <c r="EQ84" s="228"/>
      <c r="ER84" s="228"/>
      <c r="ES84" s="228"/>
      <c r="ET84" s="228"/>
      <c r="EU84" s="228"/>
      <c r="EV84" s="228"/>
      <c r="EW84" s="228"/>
      <c r="EX84" s="228"/>
      <c r="EY84" s="228"/>
      <c r="EZ84" s="228"/>
      <c r="FA84" s="228"/>
      <c r="FB84" s="228"/>
      <c r="FC84" s="228"/>
      <c r="FD84" s="228"/>
      <c r="FE84" s="228"/>
      <c r="FF84" s="228"/>
      <c r="FG84" s="228"/>
      <c r="FH84" s="228"/>
      <c r="FI84" s="228"/>
      <c r="FJ84" s="228"/>
      <c r="FK84" s="228"/>
      <c r="FL84" s="228"/>
      <c r="FM84" s="228"/>
      <c r="FN84" s="228"/>
      <c r="FO84" s="228"/>
      <c r="FP84" s="228"/>
      <c r="FQ84" s="228"/>
      <c r="FR84" s="228"/>
      <c r="FS84" s="228"/>
      <c r="FT84" s="228"/>
      <c r="FU84" s="228"/>
      <c r="FV84" s="228"/>
      <c r="FW84" s="228"/>
      <c r="FX84" s="228"/>
      <c r="FY84" s="228"/>
      <c r="FZ84" s="228"/>
      <c r="GA84" s="228"/>
      <c r="GB84" s="228"/>
      <c r="GC84" s="228"/>
      <c r="GD84" s="228"/>
      <c r="GE84" s="228"/>
      <c r="GF84" s="228"/>
      <c r="GG84" s="228"/>
      <c r="GH84" s="228"/>
      <c r="GI84" s="228"/>
      <c r="GJ84" s="228"/>
      <c r="GK84" s="228"/>
      <c r="GL84" s="228"/>
      <c r="GM84" s="228"/>
      <c r="GN84" s="228"/>
      <c r="GO84" s="228"/>
      <c r="GP84" s="228"/>
      <c r="GQ84" s="228"/>
      <c r="GR84" s="228"/>
      <c r="GS84" s="228"/>
      <c r="GT84" s="228"/>
      <c r="GU84" s="228"/>
      <c r="GV84" s="228"/>
      <c r="GW84" s="228"/>
      <c r="GX84" s="228"/>
      <c r="GY84" s="228"/>
      <c r="GZ84" s="228"/>
      <c r="HA84" s="228"/>
      <c r="HB84" s="228"/>
      <c r="HC84" s="228"/>
      <c r="HD84" s="228"/>
      <c r="HE84" s="228"/>
      <c r="HF84" s="228"/>
      <c r="HG84" s="228"/>
      <c r="HH84" s="228"/>
      <c r="HI84" s="228"/>
      <c r="HJ84" s="228"/>
      <c r="HK84" s="228"/>
      <c r="HL84" s="228"/>
      <c r="HM84" s="228"/>
      <c r="HN84" s="228"/>
      <c r="HO84" s="228"/>
      <c r="HP84" s="228"/>
      <c r="HQ84" s="228"/>
      <c r="HR84" s="228"/>
      <c r="HS84" s="228"/>
      <c r="HT84" s="228"/>
      <c r="HU84" s="228"/>
      <c r="HV84" s="228"/>
      <c r="HW84" s="228"/>
      <c r="HX84" s="228"/>
      <c r="HY84" s="228"/>
      <c r="HZ84" s="228"/>
      <c r="IA84" s="228"/>
      <c r="IB84" s="228"/>
      <c r="IC84" s="228"/>
      <c r="ID84" s="228"/>
      <c r="IE84" s="228"/>
      <c r="IF84" s="228"/>
      <c r="IG84" s="228"/>
      <c r="IH84" s="228"/>
      <c r="II84" s="228"/>
      <c r="IJ84" s="228"/>
      <c r="IK84" s="228"/>
      <c r="IL84" s="228"/>
      <c r="IM84" s="228"/>
      <c r="IN84" s="228"/>
    </row>
    <row r="85" spans="1:248" ht="18" customHeight="1">
      <c r="A85" s="230" t="s">
        <v>518</v>
      </c>
      <c r="B85" s="231" t="s">
        <v>519</v>
      </c>
      <c r="C85" s="333"/>
      <c r="D85" s="318"/>
      <c r="E85" s="335"/>
      <c r="F85" s="320"/>
      <c r="G85" s="366" t="e">
        <f t="shared" si="8"/>
        <v>#DIV/0!</v>
      </c>
      <c r="H85" s="367" t="e">
        <f t="shared" si="9"/>
        <v>#DIV/0!</v>
      </c>
      <c r="I85" s="360"/>
      <c r="J85" s="360"/>
      <c r="K85" s="229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</row>
    <row r="86" spans="1:248" ht="19.5" customHeight="1">
      <c r="A86" s="230" t="s">
        <v>520</v>
      </c>
      <c r="B86" s="231" t="s">
        <v>521</v>
      </c>
      <c r="C86" s="333"/>
      <c r="D86" s="318"/>
      <c r="E86" s="335"/>
      <c r="F86" s="320"/>
      <c r="G86" s="366" t="e">
        <f t="shared" si="8"/>
        <v>#DIV/0!</v>
      </c>
      <c r="H86" s="367" t="e">
        <f t="shared" si="9"/>
        <v>#DIV/0!</v>
      </c>
      <c r="I86" s="360"/>
      <c r="J86" s="360"/>
      <c r="K86" s="229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8"/>
      <c r="FY86" s="228"/>
      <c r="FZ86" s="228"/>
      <c r="GA86" s="228"/>
      <c r="GB86" s="228"/>
      <c r="GC86" s="228"/>
      <c r="GD86" s="228"/>
      <c r="GE86" s="228"/>
      <c r="GF86" s="228"/>
      <c r="GG86" s="228"/>
      <c r="GH86" s="228"/>
      <c r="GI86" s="228"/>
      <c r="GJ86" s="228"/>
      <c r="GK86" s="228"/>
      <c r="GL86" s="228"/>
      <c r="GM86" s="228"/>
      <c r="GN86" s="228"/>
      <c r="GO86" s="228"/>
      <c r="GP86" s="228"/>
      <c r="GQ86" s="228"/>
      <c r="GR86" s="228"/>
      <c r="GS86" s="228"/>
      <c r="GT86" s="228"/>
      <c r="GU86" s="228"/>
      <c r="GV86" s="228"/>
      <c r="GW86" s="228"/>
      <c r="GX86" s="228"/>
      <c r="GY86" s="228"/>
      <c r="GZ86" s="228"/>
      <c r="HA86" s="228"/>
      <c r="HB86" s="228"/>
      <c r="HC86" s="228"/>
      <c r="HD86" s="228"/>
      <c r="HE86" s="228"/>
      <c r="HF86" s="228"/>
      <c r="HG86" s="228"/>
      <c r="HH86" s="228"/>
      <c r="HI86" s="228"/>
      <c r="HJ86" s="228"/>
      <c r="HK86" s="228"/>
      <c r="HL86" s="228"/>
      <c r="HM86" s="228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  <c r="IB86" s="228"/>
      <c r="IC86" s="228"/>
      <c r="ID86" s="228"/>
      <c r="IE86" s="228"/>
      <c r="IF86" s="228"/>
      <c r="IG86" s="228"/>
      <c r="IH86" s="228"/>
      <c r="II86" s="228"/>
      <c r="IJ86" s="228"/>
      <c r="IK86" s="228"/>
      <c r="IL86" s="228"/>
      <c r="IM86" s="228"/>
      <c r="IN86" s="228"/>
    </row>
    <row r="87" spans="1:248" ht="18.75" customHeight="1">
      <c r="A87" s="232" t="s">
        <v>522</v>
      </c>
      <c r="B87" s="233" t="s">
        <v>523</v>
      </c>
      <c r="C87" s="336">
        <f>C10+C37+C71</f>
        <v>3516.8688660000003</v>
      </c>
      <c r="D87" s="336">
        <f>C87/$C$100*1000</f>
        <v>2886.9388162863243</v>
      </c>
      <c r="E87" s="336">
        <f>E10+E37+E71</f>
        <v>2545.7779826</v>
      </c>
      <c r="F87" s="337">
        <f>E87/$E$100*1000</f>
        <v>2737.807823328243</v>
      </c>
      <c r="G87" s="217">
        <f t="shared" si="8"/>
        <v>72.38762887100494</v>
      </c>
      <c r="H87" s="216">
        <f t="shared" si="9"/>
        <v>94.8342863341344</v>
      </c>
      <c r="I87" s="361"/>
      <c r="J87" s="361"/>
      <c r="K87" s="235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234"/>
      <c r="DH87" s="234"/>
      <c r="DI87" s="234"/>
      <c r="DJ87" s="234"/>
      <c r="DK87" s="234"/>
      <c r="DL87" s="234"/>
      <c r="DM87" s="234"/>
      <c r="DN87" s="234"/>
      <c r="DO87" s="234"/>
      <c r="DP87" s="234"/>
      <c r="DQ87" s="234"/>
      <c r="DR87" s="234"/>
      <c r="DS87" s="234"/>
      <c r="DT87" s="234"/>
      <c r="DU87" s="234"/>
      <c r="DV87" s="234"/>
      <c r="DW87" s="234"/>
      <c r="DX87" s="234"/>
      <c r="DY87" s="234"/>
      <c r="DZ87" s="234"/>
      <c r="EA87" s="234"/>
      <c r="EB87" s="234"/>
      <c r="EC87" s="234"/>
      <c r="ED87" s="234"/>
      <c r="EE87" s="234"/>
      <c r="EF87" s="234"/>
      <c r="EG87" s="234"/>
      <c r="EH87" s="234"/>
      <c r="EI87" s="234"/>
      <c r="EJ87" s="234"/>
      <c r="EK87" s="234"/>
      <c r="EL87" s="234"/>
      <c r="EM87" s="234"/>
      <c r="EN87" s="234"/>
      <c r="EO87" s="234"/>
      <c r="EP87" s="234"/>
      <c r="EQ87" s="234"/>
      <c r="ER87" s="234"/>
      <c r="ES87" s="234"/>
      <c r="ET87" s="234"/>
      <c r="EU87" s="234"/>
      <c r="EV87" s="234"/>
      <c r="EW87" s="234"/>
      <c r="EX87" s="234"/>
      <c r="EY87" s="234"/>
      <c r="EZ87" s="234"/>
      <c r="FA87" s="234"/>
      <c r="FB87" s="234"/>
      <c r="FC87" s="234"/>
      <c r="FD87" s="234"/>
      <c r="FE87" s="234"/>
      <c r="FF87" s="234"/>
      <c r="FG87" s="234"/>
      <c r="FH87" s="234"/>
      <c r="FI87" s="234"/>
      <c r="FJ87" s="234"/>
      <c r="FK87" s="234"/>
      <c r="FL87" s="234"/>
      <c r="FM87" s="234"/>
      <c r="FN87" s="234"/>
      <c r="FO87" s="234"/>
      <c r="FP87" s="234"/>
      <c r="FQ87" s="234"/>
      <c r="FR87" s="234"/>
      <c r="FS87" s="234"/>
      <c r="FT87" s="234"/>
      <c r="FU87" s="234"/>
      <c r="FV87" s="234"/>
      <c r="FW87" s="234"/>
      <c r="FX87" s="234"/>
      <c r="FY87" s="234"/>
      <c r="FZ87" s="234"/>
      <c r="GA87" s="234"/>
      <c r="GB87" s="234"/>
      <c r="GC87" s="234"/>
      <c r="GD87" s="234"/>
      <c r="GE87" s="234"/>
      <c r="GF87" s="234"/>
      <c r="GG87" s="234"/>
      <c r="GH87" s="234"/>
      <c r="GI87" s="234"/>
      <c r="GJ87" s="234"/>
      <c r="GK87" s="234"/>
      <c r="GL87" s="234"/>
      <c r="GM87" s="234"/>
      <c r="GN87" s="234"/>
      <c r="GO87" s="234"/>
      <c r="GP87" s="234"/>
      <c r="GQ87" s="234"/>
      <c r="GR87" s="234"/>
      <c r="GS87" s="234"/>
      <c r="GT87" s="234"/>
      <c r="GU87" s="234"/>
      <c r="GV87" s="234"/>
      <c r="GW87" s="234"/>
      <c r="GX87" s="234"/>
      <c r="GY87" s="234"/>
      <c r="GZ87" s="234"/>
      <c r="HA87" s="234"/>
      <c r="HB87" s="234"/>
      <c r="HC87" s="234"/>
      <c r="HD87" s="234"/>
      <c r="HE87" s="234"/>
      <c r="HF87" s="234"/>
      <c r="HG87" s="234"/>
      <c r="HH87" s="234"/>
      <c r="HI87" s="234"/>
      <c r="HJ87" s="234"/>
      <c r="HK87" s="234"/>
      <c r="HL87" s="234"/>
      <c r="HM87" s="234"/>
      <c r="HN87" s="234"/>
      <c r="HO87" s="234"/>
      <c r="HP87" s="234"/>
      <c r="HQ87" s="234"/>
      <c r="HR87" s="234"/>
      <c r="HS87" s="234"/>
      <c r="HT87" s="234"/>
      <c r="HU87" s="234"/>
      <c r="HV87" s="234"/>
      <c r="HW87" s="234"/>
      <c r="HX87" s="234"/>
      <c r="HY87" s="234"/>
      <c r="HZ87" s="234"/>
      <c r="IA87" s="234"/>
      <c r="IB87" s="234"/>
      <c r="IC87" s="234"/>
      <c r="ID87" s="234"/>
      <c r="IE87" s="234"/>
      <c r="IF87" s="234"/>
      <c r="IG87" s="234"/>
      <c r="IH87" s="234"/>
      <c r="II87" s="234"/>
      <c r="IJ87" s="234"/>
      <c r="IK87" s="234"/>
      <c r="IL87" s="234"/>
      <c r="IM87" s="234"/>
      <c r="IN87" s="234"/>
    </row>
    <row r="88" spans="1:248" ht="18.75" customHeight="1">
      <c r="A88" s="232" t="s">
        <v>524</v>
      </c>
      <c r="B88" s="233" t="s">
        <v>301</v>
      </c>
      <c r="C88" s="336">
        <f>C89+C90+C91+C92+C93</f>
        <v>0</v>
      </c>
      <c r="D88" s="336">
        <f>C88/$C$100*1000</f>
        <v>0</v>
      </c>
      <c r="E88" s="338">
        <f>E89+E90+E91+E92+E93</f>
        <v>0</v>
      </c>
      <c r="F88" s="337">
        <f>E88/$E$100*1000</f>
        <v>0</v>
      </c>
      <c r="G88" s="366" t="e">
        <f t="shared" si="8"/>
        <v>#DIV/0!</v>
      </c>
      <c r="H88" s="367" t="e">
        <f t="shared" si="9"/>
        <v>#DIV/0!</v>
      </c>
      <c r="I88" s="361"/>
      <c r="J88" s="361"/>
      <c r="K88" s="235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4"/>
      <c r="CL88" s="234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4"/>
      <c r="DE88" s="234"/>
      <c r="DF88" s="234"/>
      <c r="DG88" s="234"/>
      <c r="DH88" s="234"/>
      <c r="DI88" s="234"/>
      <c r="DJ88" s="234"/>
      <c r="DK88" s="234"/>
      <c r="DL88" s="234"/>
      <c r="DM88" s="234"/>
      <c r="DN88" s="234"/>
      <c r="DO88" s="234"/>
      <c r="DP88" s="234"/>
      <c r="DQ88" s="234"/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  <c r="IM88" s="234"/>
      <c r="IN88" s="234"/>
    </row>
    <row r="89" spans="1:248" ht="26.25" customHeight="1">
      <c r="A89" s="218" t="s">
        <v>525</v>
      </c>
      <c r="B89" s="236" t="s">
        <v>526</v>
      </c>
      <c r="C89" s="336"/>
      <c r="D89" s="336"/>
      <c r="E89" s="338"/>
      <c r="F89" s="337"/>
      <c r="G89" s="366" t="e">
        <f t="shared" si="8"/>
        <v>#DIV/0!</v>
      </c>
      <c r="H89" s="367" t="e">
        <f t="shared" si="9"/>
        <v>#DIV/0!</v>
      </c>
      <c r="I89" s="361"/>
      <c r="J89" s="361"/>
      <c r="K89" s="235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4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4"/>
      <c r="CL89" s="234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4"/>
      <c r="DE89" s="234"/>
      <c r="DF89" s="234"/>
      <c r="DG89" s="234"/>
      <c r="DH89" s="234"/>
      <c r="DI89" s="234"/>
      <c r="DJ89" s="234"/>
      <c r="DK89" s="234"/>
      <c r="DL89" s="234"/>
      <c r="DM89" s="234"/>
      <c r="DN89" s="234"/>
      <c r="DO89" s="234"/>
      <c r="DP89" s="234"/>
      <c r="DQ89" s="234"/>
      <c r="DR89" s="234"/>
      <c r="DS89" s="234"/>
      <c r="DT89" s="234"/>
      <c r="DU89" s="234"/>
      <c r="DV89" s="234"/>
      <c r="DW89" s="234"/>
      <c r="DX89" s="234"/>
      <c r="DY89" s="234"/>
      <c r="DZ89" s="234"/>
      <c r="EA89" s="234"/>
      <c r="EB89" s="234"/>
      <c r="EC89" s="234"/>
      <c r="ED89" s="234"/>
      <c r="EE89" s="234"/>
      <c r="EF89" s="234"/>
      <c r="EG89" s="234"/>
      <c r="EH89" s="234"/>
      <c r="EI89" s="234"/>
      <c r="EJ89" s="234"/>
      <c r="EK89" s="234"/>
      <c r="EL89" s="234"/>
      <c r="EM89" s="234"/>
      <c r="EN89" s="234"/>
      <c r="EO89" s="234"/>
      <c r="EP89" s="234"/>
      <c r="EQ89" s="234"/>
      <c r="ER89" s="234"/>
      <c r="ES89" s="234"/>
      <c r="ET89" s="234"/>
      <c r="EU89" s="234"/>
      <c r="EV89" s="234"/>
      <c r="EW89" s="234"/>
      <c r="EX89" s="234"/>
      <c r="EY89" s="234"/>
      <c r="EZ89" s="234"/>
      <c r="FA89" s="234"/>
      <c r="FB89" s="234"/>
      <c r="FC89" s="234"/>
      <c r="FD89" s="234"/>
      <c r="FE89" s="234"/>
      <c r="FF89" s="234"/>
      <c r="FG89" s="234"/>
      <c r="FH89" s="234"/>
      <c r="FI89" s="234"/>
      <c r="FJ89" s="234"/>
      <c r="FK89" s="234"/>
      <c r="FL89" s="234"/>
      <c r="FM89" s="234"/>
      <c r="FN89" s="234"/>
      <c r="FO89" s="234"/>
      <c r="FP89" s="234"/>
      <c r="FQ89" s="234"/>
      <c r="FR89" s="234"/>
      <c r="FS89" s="234"/>
      <c r="FT89" s="234"/>
      <c r="FU89" s="234"/>
      <c r="FV89" s="234"/>
      <c r="FW89" s="234"/>
      <c r="FX89" s="234"/>
      <c r="FY89" s="234"/>
      <c r="FZ89" s="234"/>
      <c r="GA89" s="234"/>
      <c r="GB89" s="234"/>
      <c r="GC89" s="234"/>
      <c r="GD89" s="234"/>
      <c r="GE89" s="234"/>
      <c r="GF89" s="234"/>
      <c r="GG89" s="234"/>
      <c r="GH89" s="234"/>
      <c r="GI89" s="234"/>
      <c r="GJ89" s="234"/>
      <c r="GK89" s="234"/>
      <c r="GL89" s="234"/>
      <c r="GM89" s="234"/>
      <c r="GN89" s="234"/>
      <c r="GO89" s="234"/>
      <c r="GP89" s="234"/>
      <c r="GQ89" s="234"/>
      <c r="GR89" s="234"/>
      <c r="GS89" s="234"/>
      <c r="GT89" s="234"/>
      <c r="GU89" s="234"/>
      <c r="GV89" s="234"/>
      <c r="GW89" s="234"/>
      <c r="GX89" s="234"/>
      <c r="GY89" s="234"/>
      <c r="GZ89" s="234"/>
      <c r="HA89" s="234"/>
      <c r="HB89" s="234"/>
      <c r="HC89" s="234"/>
      <c r="HD89" s="234"/>
      <c r="HE89" s="234"/>
      <c r="HF89" s="234"/>
      <c r="HG89" s="234"/>
      <c r="HH89" s="234"/>
      <c r="HI89" s="234"/>
      <c r="HJ89" s="234"/>
      <c r="HK89" s="234"/>
      <c r="HL89" s="234"/>
      <c r="HM89" s="234"/>
      <c r="HN89" s="234"/>
      <c r="HO89" s="234"/>
      <c r="HP89" s="234"/>
      <c r="HQ89" s="234"/>
      <c r="HR89" s="234"/>
      <c r="HS89" s="234"/>
      <c r="HT89" s="234"/>
      <c r="HU89" s="234"/>
      <c r="HV89" s="234"/>
      <c r="HW89" s="234"/>
      <c r="HX89" s="234"/>
      <c r="HY89" s="234"/>
      <c r="HZ89" s="234"/>
      <c r="IA89" s="234"/>
      <c r="IB89" s="234"/>
      <c r="IC89" s="234"/>
      <c r="ID89" s="234"/>
      <c r="IE89" s="234"/>
      <c r="IF89" s="234"/>
      <c r="IG89" s="234"/>
      <c r="IH89" s="234"/>
      <c r="II89" s="234"/>
      <c r="IJ89" s="234"/>
      <c r="IK89" s="234"/>
      <c r="IL89" s="234"/>
      <c r="IM89" s="234"/>
      <c r="IN89" s="234"/>
    </row>
    <row r="90" spans="1:10" ht="18" customHeight="1">
      <c r="A90" s="218" t="s">
        <v>527</v>
      </c>
      <c r="B90" s="236" t="s">
        <v>63</v>
      </c>
      <c r="C90" s="318"/>
      <c r="D90" s="318"/>
      <c r="E90" s="323"/>
      <c r="F90" s="320"/>
      <c r="G90" s="366" t="e">
        <f t="shared" si="8"/>
        <v>#DIV/0!</v>
      </c>
      <c r="H90" s="367" t="e">
        <f t="shared" si="9"/>
        <v>#DIV/0!</v>
      </c>
      <c r="I90" s="355"/>
      <c r="J90" s="355"/>
    </row>
    <row r="91" spans="1:10" ht="16.5" customHeight="1">
      <c r="A91" s="218" t="s">
        <v>528</v>
      </c>
      <c r="B91" s="236" t="s">
        <v>529</v>
      </c>
      <c r="C91" s="318"/>
      <c r="D91" s="318"/>
      <c r="E91" s="323"/>
      <c r="F91" s="320"/>
      <c r="G91" s="366" t="e">
        <f t="shared" si="8"/>
        <v>#DIV/0!</v>
      </c>
      <c r="H91" s="367" t="e">
        <f t="shared" si="9"/>
        <v>#DIV/0!</v>
      </c>
      <c r="I91" s="355"/>
      <c r="J91" s="355"/>
    </row>
    <row r="92" spans="1:10" ht="16.5" customHeight="1">
      <c r="A92" s="218" t="s">
        <v>530</v>
      </c>
      <c r="B92" s="236" t="s">
        <v>531</v>
      </c>
      <c r="C92" s="318"/>
      <c r="D92" s="318"/>
      <c r="E92" s="323"/>
      <c r="F92" s="320"/>
      <c r="G92" s="366" t="e">
        <f t="shared" si="8"/>
        <v>#DIV/0!</v>
      </c>
      <c r="H92" s="367" t="e">
        <f t="shared" si="9"/>
        <v>#DIV/0!</v>
      </c>
      <c r="I92" s="355"/>
      <c r="J92" s="355"/>
    </row>
    <row r="93" spans="1:10" ht="18.75" customHeight="1">
      <c r="A93" s="218" t="s">
        <v>532</v>
      </c>
      <c r="B93" s="236" t="s">
        <v>533</v>
      </c>
      <c r="C93" s="318">
        <f>C94+C95+C96</f>
        <v>0</v>
      </c>
      <c r="D93" s="318">
        <f>C93/$C$100*1000</f>
        <v>0</v>
      </c>
      <c r="E93" s="323">
        <f>E94+E95+E96</f>
        <v>0</v>
      </c>
      <c r="F93" s="320">
        <f>E93/$E$100*1000</f>
        <v>0</v>
      </c>
      <c r="G93" s="366" t="e">
        <f t="shared" si="8"/>
        <v>#DIV/0!</v>
      </c>
      <c r="H93" s="367" t="e">
        <f t="shared" si="9"/>
        <v>#DIV/0!</v>
      </c>
      <c r="I93" s="355"/>
      <c r="J93" s="355"/>
    </row>
    <row r="94" spans="1:248" ht="18.75" customHeight="1">
      <c r="A94" s="230" t="s">
        <v>534</v>
      </c>
      <c r="B94" s="237" t="s">
        <v>535</v>
      </c>
      <c r="C94" s="333">
        <v>0</v>
      </c>
      <c r="D94" s="318">
        <f>C94/$C$100*1000</f>
        <v>0</v>
      </c>
      <c r="E94" s="335">
        <v>0</v>
      </c>
      <c r="F94" s="320">
        <f>E94/$E$100*1000</f>
        <v>0</v>
      </c>
      <c r="G94" s="366" t="e">
        <f t="shared" si="8"/>
        <v>#DIV/0!</v>
      </c>
      <c r="H94" s="367" t="e">
        <f t="shared" si="9"/>
        <v>#DIV/0!</v>
      </c>
      <c r="I94" s="360"/>
      <c r="J94" s="360"/>
      <c r="K94" s="229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8"/>
      <c r="DT94" s="228"/>
      <c r="DU94" s="228"/>
      <c r="DV94" s="228"/>
      <c r="DW94" s="228"/>
      <c r="DX94" s="228"/>
      <c r="DY94" s="228"/>
      <c r="DZ94" s="228"/>
      <c r="EA94" s="228"/>
      <c r="EB94" s="228"/>
      <c r="EC94" s="228"/>
      <c r="ED94" s="228"/>
      <c r="EE94" s="228"/>
      <c r="EF94" s="228"/>
      <c r="EG94" s="228"/>
      <c r="EH94" s="228"/>
      <c r="EI94" s="228"/>
      <c r="EJ94" s="228"/>
      <c r="EK94" s="228"/>
      <c r="EL94" s="228"/>
      <c r="EM94" s="228"/>
      <c r="EN94" s="228"/>
      <c r="EO94" s="228"/>
      <c r="EP94" s="228"/>
      <c r="EQ94" s="228"/>
      <c r="ER94" s="228"/>
      <c r="ES94" s="228"/>
      <c r="ET94" s="228"/>
      <c r="EU94" s="228"/>
      <c r="EV94" s="228"/>
      <c r="EW94" s="228"/>
      <c r="EX94" s="228"/>
      <c r="EY94" s="228"/>
      <c r="EZ94" s="228"/>
      <c r="FA94" s="228"/>
      <c r="FB94" s="228"/>
      <c r="FC94" s="228"/>
      <c r="FD94" s="228"/>
      <c r="FE94" s="228"/>
      <c r="FF94" s="228"/>
      <c r="FG94" s="228"/>
      <c r="FH94" s="228"/>
      <c r="FI94" s="228"/>
      <c r="FJ94" s="228"/>
      <c r="FK94" s="228"/>
      <c r="FL94" s="228"/>
      <c r="FM94" s="228"/>
      <c r="FN94" s="228"/>
      <c r="FO94" s="228"/>
      <c r="FP94" s="228"/>
      <c r="FQ94" s="228"/>
      <c r="FR94" s="228"/>
      <c r="FS94" s="228"/>
      <c r="FT94" s="228"/>
      <c r="FU94" s="228"/>
      <c r="FV94" s="228"/>
      <c r="FW94" s="228"/>
      <c r="FX94" s="228"/>
      <c r="FY94" s="228"/>
      <c r="FZ94" s="228"/>
      <c r="GA94" s="228"/>
      <c r="GB94" s="228"/>
      <c r="GC94" s="228"/>
      <c r="GD94" s="228"/>
      <c r="GE94" s="228"/>
      <c r="GF94" s="228"/>
      <c r="GG94" s="228"/>
      <c r="GH94" s="228"/>
      <c r="GI94" s="228"/>
      <c r="GJ94" s="228"/>
      <c r="GK94" s="228"/>
      <c r="GL94" s="228"/>
      <c r="GM94" s="228"/>
      <c r="GN94" s="228"/>
      <c r="GO94" s="228"/>
      <c r="GP94" s="228"/>
      <c r="GQ94" s="228"/>
      <c r="GR94" s="228"/>
      <c r="GS94" s="228"/>
      <c r="GT94" s="228"/>
      <c r="GU94" s="228"/>
      <c r="GV94" s="228"/>
      <c r="GW94" s="228"/>
      <c r="GX94" s="228"/>
      <c r="GY94" s="228"/>
      <c r="GZ94" s="228"/>
      <c r="HA94" s="228"/>
      <c r="HB94" s="228"/>
      <c r="HC94" s="228"/>
      <c r="HD94" s="228"/>
      <c r="HE94" s="228"/>
      <c r="HF94" s="228"/>
      <c r="HG94" s="228"/>
      <c r="HH94" s="228"/>
      <c r="HI94" s="228"/>
      <c r="HJ94" s="228"/>
      <c r="HK94" s="228"/>
      <c r="HL94" s="228"/>
      <c r="HM94" s="228"/>
      <c r="HN94" s="228"/>
      <c r="HO94" s="228"/>
      <c r="HP94" s="228"/>
      <c r="HQ94" s="228"/>
      <c r="HR94" s="228"/>
      <c r="HS94" s="228"/>
      <c r="HT94" s="228"/>
      <c r="HU94" s="228"/>
      <c r="HV94" s="228"/>
      <c r="HW94" s="228"/>
      <c r="HX94" s="228"/>
      <c r="HY94" s="228"/>
      <c r="HZ94" s="228"/>
      <c r="IA94" s="228"/>
      <c r="IB94" s="228"/>
      <c r="IC94" s="228"/>
      <c r="ID94" s="228"/>
      <c r="IE94" s="228"/>
      <c r="IF94" s="228"/>
      <c r="IG94" s="228"/>
      <c r="IH94" s="228"/>
      <c r="II94" s="228"/>
      <c r="IJ94" s="228"/>
      <c r="IK94" s="228"/>
      <c r="IL94" s="228"/>
      <c r="IM94" s="228"/>
      <c r="IN94" s="228"/>
    </row>
    <row r="95" spans="1:248" ht="17.25" customHeight="1">
      <c r="A95" s="230" t="s">
        <v>536</v>
      </c>
      <c r="B95" s="237" t="s">
        <v>537</v>
      </c>
      <c r="C95" s="333"/>
      <c r="D95" s="333"/>
      <c r="E95" s="335"/>
      <c r="F95" s="339"/>
      <c r="G95" s="366" t="e">
        <f t="shared" si="8"/>
        <v>#DIV/0!</v>
      </c>
      <c r="H95" s="367" t="e">
        <f t="shared" si="9"/>
        <v>#DIV/0!</v>
      </c>
      <c r="I95" s="360"/>
      <c r="J95" s="360"/>
      <c r="K95" s="229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28"/>
      <c r="DT95" s="228"/>
      <c r="DU95" s="228"/>
      <c r="DV95" s="228"/>
      <c r="DW95" s="228"/>
      <c r="DX95" s="228"/>
      <c r="DY95" s="228"/>
      <c r="DZ95" s="228"/>
      <c r="EA95" s="228"/>
      <c r="EB95" s="228"/>
      <c r="EC95" s="228"/>
      <c r="ED95" s="228"/>
      <c r="EE95" s="228"/>
      <c r="EF95" s="228"/>
      <c r="EG95" s="228"/>
      <c r="EH95" s="228"/>
      <c r="EI95" s="228"/>
      <c r="EJ95" s="228"/>
      <c r="EK95" s="228"/>
      <c r="EL95" s="228"/>
      <c r="EM95" s="228"/>
      <c r="EN95" s="228"/>
      <c r="EO95" s="228"/>
      <c r="EP95" s="228"/>
      <c r="EQ95" s="228"/>
      <c r="ER95" s="228"/>
      <c r="ES95" s="228"/>
      <c r="ET95" s="228"/>
      <c r="EU95" s="228"/>
      <c r="EV95" s="228"/>
      <c r="EW95" s="228"/>
      <c r="EX95" s="228"/>
      <c r="EY95" s="228"/>
      <c r="EZ95" s="228"/>
      <c r="FA95" s="228"/>
      <c r="FB95" s="228"/>
      <c r="FC95" s="228"/>
      <c r="FD95" s="228"/>
      <c r="FE95" s="228"/>
      <c r="FF95" s="228"/>
      <c r="FG95" s="228"/>
      <c r="FH95" s="228"/>
      <c r="FI95" s="228"/>
      <c r="FJ95" s="228"/>
      <c r="FK95" s="228"/>
      <c r="FL95" s="228"/>
      <c r="FM95" s="228"/>
      <c r="FN95" s="228"/>
      <c r="FO95" s="228"/>
      <c r="FP95" s="228"/>
      <c r="FQ95" s="228"/>
      <c r="FR95" s="228"/>
      <c r="FS95" s="228"/>
      <c r="FT95" s="228"/>
      <c r="FU95" s="228"/>
      <c r="FV95" s="228"/>
      <c r="FW95" s="228"/>
      <c r="FX95" s="228"/>
      <c r="FY95" s="228"/>
      <c r="FZ95" s="228"/>
      <c r="GA95" s="228"/>
      <c r="GB95" s="228"/>
      <c r="GC95" s="228"/>
      <c r="GD95" s="228"/>
      <c r="GE95" s="228"/>
      <c r="GF95" s="228"/>
      <c r="GG95" s="228"/>
      <c r="GH95" s="228"/>
      <c r="GI95" s="228"/>
      <c r="GJ95" s="228"/>
      <c r="GK95" s="228"/>
      <c r="GL95" s="228"/>
      <c r="GM95" s="228"/>
      <c r="GN95" s="228"/>
      <c r="GO95" s="228"/>
      <c r="GP95" s="228"/>
      <c r="GQ95" s="228"/>
      <c r="GR95" s="228"/>
      <c r="GS95" s="228"/>
      <c r="GT95" s="228"/>
      <c r="GU95" s="228"/>
      <c r="GV95" s="228"/>
      <c r="GW95" s="228"/>
      <c r="GX95" s="228"/>
      <c r="GY95" s="228"/>
      <c r="GZ95" s="228"/>
      <c r="HA95" s="228"/>
      <c r="HB95" s="228"/>
      <c r="HC95" s="228"/>
      <c r="HD95" s="228"/>
      <c r="HE95" s="228"/>
      <c r="HF95" s="228"/>
      <c r="HG95" s="228"/>
      <c r="HH95" s="228"/>
      <c r="HI95" s="228"/>
      <c r="HJ95" s="228"/>
      <c r="HK95" s="228"/>
      <c r="HL95" s="228"/>
      <c r="HM95" s="228"/>
      <c r="HN95" s="228"/>
      <c r="HO95" s="228"/>
      <c r="HP95" s="228"/>
      <c r="HQ95" s="228"/>
      <c r="HR95" s="228"/>
      <c r="HS95" s="228"/>
      <c r="HT95" s="228"/>
      <c r="HU95" s="228"/>
      <c r="HV95" s="228"/>
      <c r="HW95" s="228"/>
      <c r="HX95" s="228"/>
      <c r="HY95" s="228"/>
      <c r="HZ95" s="228"/>
      <c r="IA95" s="228"/>
      <c r="IB95" s="228"/>
      <c r="IC95" s="228"/>
      <c r="ID95" s="228"/>
      <c r="IE95" s="228"/>
      <c r="IF95" s="228"/>
      <c r="IG95" s="228"/>
      <c r="IH95" s="228"/>
      <c r="II95" s="228"/>
      <c r="IJ95" s="228"/>
      <c r="IK95" s="228"/>
      <c r="IL95" s="228"/>
      <c r="IM95" s="228"/>
      <c r="IN95" s="228"/>
    </row>
    <row r="96" spans="1:248" ht="18" customHeight="1" thickBot="1">
      <c r="A96" s="238" t="s">
        <v>538</v>
      </c>
      <c r="B96" s="239" t="s">
        <v>539</v>
      </c>
      <c r="C96" s="340"/>
      <c r="D96" s="340"/>
      <c r="E96" s="341"/>
      <c r="F96" s="342"/>
      <c r="G96" s="368" t="e">
        <f t="shared" si="8"/>
        <v>#DIV/0!</v>
      </c>
      <c r="H96" s="369" t="e">
        <f t="shared" si="9"/>
        <v>#DIV/0!</v>
      </c>
      <c r="I96" s="362"/>
      <c r="J96" s="362"/>
      <c r="K96" s="229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28"/>
      <c r="DT96" s="228"/>
      <c r="DU96" s="228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228"/>
      <c r="EI96" s="228"/>
      <c r="EJ96" s="228"/>
      <c r="EK96" s="228"/>
      <c r="EL96" s="228"/>
      <c r="EM96" s="228"/>
      <c r="EN96" s="228"/>
      <c r="EO96" s="228"/>
      <c r="EP96" s="228"/>
      <c r="EQ96" s="228"/>
      <c r="ER96" s="228"/>
      <c r="ES96" s="228"/>
      <c r="ET96" s="228"/>
      <c r="EU96" s="228"/>
      <c r="EV96" s="228"/>
      <c r="EW96" s="228"/>
      <c r="EX96" s="228"/>
      <c r="EY96" s="228"/>
      <c r="EZ96" s="228"/>
      <c r="FA96" s="228"/>
      <c r="FB96" s="228"/>
      <c r="FC96" s="228"/>
      <c r="FD96" s="228"/>
      <c r="FE96" s="228"/>
      <c r="FF96" s="228"/>
      <c r="FG96" s="228"/>
      <c r="FH96" s="228"/>
      <c r="FI96" s="228"/>
      <c r="FJ96" s="228"/>
      <c r="FK96" s="228"/>
      <c r="FL96" s="228"/>
      <c r="FM96" s="228"/>
      <c r="FN96" s="228"/>
      <c r="FO96" s="228"/>
      <c r="FP96" s="228"/>
      <c r="FQ96" s="228"/>
      <c r="FR96" s="228"/>
      <c r="FS96" s="228"/>
      <c r="FT96" s="228"/>
      <c r="FU96" s="228"/>
      <c r="FV96" s="228"/>
      <c r="FW96" s="228"/>
      <c r="FX96" s="228"/>
      <c r="FY96" s="228"/>
      <c r="FZ96" s="228"/>
      <c r="GA96" s="228"/>
      <c r="GB96" s="228"/>
      <c r="GC96" s="228"/>
      <c r="GD96" s="228"/>
      <c r="GE96" s="228"/>
      <c r="GF96" s="228"/>
      <c r="GG96" s="228"/>
      <c r="GH96" s="228"/>
      <c r="GI96" s="228"/>
      <c r="GJ96" s="228"/>
      <c r="GK96" s="228"/>
      <c r="GL96" s="228"/>
      <c r="GM96" s="228"/>
      <c r="GN96" s="228"/>
      <c r="GO96" s="228"/>
      <c r="GP96" s="228"/>
      <c r="GQ96" s="228"/>
      <c r="GR96" s="228"/>
      <c r="GS96" s="228"/>
      <c r="GT96" s="228"/>
      <c r="GU96" s="228"/>
      <c r="GV96" s="228"/>
      <c r="GW96" s="228"/>
      <c r="GX96" s="228"/>
      <c r="GY96" s="228"/>
      <c r="GZ96" s="228"/>
      <c r="HA96" s="228"/>
      <c r="HB96" s="228"/>
      <c r="HC96" s="228"/>
      <c r="HD96" s="228"/>
      <c r="HE96" s="228"/>
      <c r="HF96" s="228"/>
      <c r="HG96" s="228"/>
      <c r="HH96" s="228"/>
      <c r="HI96" s="228"/>
      <c r="HJ96" s="228"/>
      <c r="HK96" s="228"/>
      <c r="HL96" s="228"/>
      <c r="HM96" s="228"/>
      <c r="HN96" s="228"/>
      <c r="HO96" s="228"/>
      <c r="HP96" s="228"/>
      <c r="HQ96" s="228"/>
      <c r="HR96" s="228"/>
      <c r="HS96" s="228"/>
      <c r="HT96" s="228"/>
      <c r="HU96" s="228"/>
      <c r="HV96" s="228"/>
      <c r="HW96" s="228"/>
      <c r="HX96" s="228"/>
      <c r="HY96" s="228"/>
      <c r="HZ96" s="228"/>
      <c r="IA96" s="228"/>
      <c r="IB96" s="228"/>
      <c r="IC96" s="228"/>
      <c r="ID96" s="228"/>
      <c r="IE96" s="228"/>
      <c r="IF96" s="228"/>
      <c r="IG96" s="228"/>
      <c r="IH96" s="228"/>
      <c r="II96" s="228"/>
      <c r="IJ96" s="228"/>
      <c r="IK96" s="228"/>
      <c r="IL96" s="228"/>
      <c r="IM96" s="228"/>
      <c r="IN96" s="228"/>
    </row>
    <row r="97" spans="1:248" ht="17.25" customHeight="1" thickBot="1">
      <c r="A97" s="240" t="s">
        <v>540</v>
      </c>
      <c r="B97" s="241" t="s">
        <v>541</v>
      </c>
      <c r="C97" s="343">
        <f>C71+C88</f>
        <v>598.69</v>
      </c>
      <c r="D97" s="310">
        <f>C97/$C$100*1000</f>
        <v>491.45460515514696</v>
      </c>
      <c r="E97" s="344">
        <f>E71+E88</f>
        <v>349.9</v>
      </c>
      <c r="F97" s="311">
        <f>E97/$E$100*1000</f>
        <v>376.29320542877423</v>
      </c>
      <c r="G97" s="251">
        <f t="shared" si="8"/>
        <v>58.444269989477014</v>
      </c>
      <c r="H97" s="211">
        <f t="shared" si="9"/>
        <v>76.56723560662994</v>
      </c>
      <c r="I97" s="363"/>
      <c r="J97" s="363"/>
      <c r="K97" s="229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8"/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8"/>
      <c r="DX97" s="228"/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8"/>
      <c r="EK97" s="228"/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8"/>
      <c r="EW97" s="228"/>
      <c r="EX97" s="228"/>
      <c r="EY97" s="228"/>
      <c r="EZ97" s="228"/>
      <c r="FA97" s="228"/>
      <c r="FB97" s="228"/>
      <c r="FC97" s="228"/>
      <c r="FD97" s="228"/>
      <c r="FE97" s="228"/>
      <c r="FF97" s="228"/>
      <c r="FG97" s="228"/>
      <c r="FH97" s="228"/>
      <c r="FI97" s="228"/>
      <c r="FJ97" s="228"/>
      <c r="FK97" s="228"/>
      <c r="FL97" s="228"/>
      <c r="FM97" s="228"/>
      <c r="FN97" s="228"/>
      <c r="FO97" s="228"/>
      <c r="FP97" s="228"/>
      <c r="FQ97" s="228"/>
      <c r="FR97" s="228"/>
      <c r="FS97" s="228"/>
      <c r="FT97" s="228"/>
      <c r="FU97" s="228"/>
      <c r="FV97" s="228"/>
      <c r="FW97" s="228"/>
      <c r="FX97" s="228"/>
      <c r="FY97" s="228"/>
      <c r="FZ97" s="228"/>
      <c r="GA97" s="228"/>
      <c r="GB97" s="228"/>
      <c r="GC97" s="228"/>
      <c r="GD97" s="228"/>
      <c r="GE97" s="228"/>
      <c r="GF97" s="228"/>
      <c r="GG97" s="228"/>
      <c r="GH97" s="228"/>
      <c r="GI97" s="228"/>
      <c r="GJ97" s="228"/>
      <c r="GK97" s="228"/>
      <c r="GL97" s="228"/>
      <c r="GM97" s="228"/>
      <c r="GN97" s="228"/>
      <c r="GO97" s="228"/>
      <c r="GP97" s="228"/>
      <c r="GQ97" s="228"/>
      <c r="GR97" s="228"/>
      <c r="GS97" s="228"/>
      <c r="GT97" s="228"/>
      <c r="GU97" s="228"/>
      <c r="GV97" s="228"/>
      <c r="GW97" s="228"/>
      <c r="GX97" s="228"/>
      <c r="GY97" s="228"/>
      <c r="GZ97" s="228"/>
      <c r="HA97" s="228"/>
      <c r="HB97" s="228"/>
      <c r="HC97" s="228"/>
      <c r="HD97" s="228"/>
      <c r="HE97" s="228"/>
      <c r="HF97" s="228"/>
      <c r="HG97" s="228"/>
      <c r="HH97" s="228"/>
      <c r="HI97" s="228"/>
      <c r="HJ97" s="228"/>
      <c r="HK97" s="228"/>
      <c r="HL97" s="228"/>
      <c r="HM97" s="228"/>
      <c r="HN97" s="228"/>
      <c r="HO97" s="228"/>
      <c r="HP97" s="228"/>
      <c r="HQ97" s="228"/>
      <c r="HR97" s="228"/>
      <c r="HS97" s="228"/>
      <c r="HT97" s="228"/>
      <c r="HU97" s="228"/>
      <c r="HV97" s="228"/>
      <c r="HW97" s="228"/>
      <c r="HX97" s="228"/>
      <c r="HY97" s="228"/>
      <c r="HZ97" s="228"/>
      <c r="IA97" s="228"/>
      <c r="IB97" s="228"/>
      <c r="IC97" s="228"/>
      <c r="ID97" s="228"/>
      <c r="IE97" s="228"/>
      <c r="IF97" s="228"/>
      <c r="IG97" s="228"/>
      <c r="IH97" s="228"/>
      <c r="II97" s="228"/>
      <c r="IJ97" s="228"/>
      <c r="IK97" s="228"/>
      <c r="IL97" s="228"/>
      <c r="IM97" s="228"/>
      <c r="IN97" s="228"/>
    </row>
    <row r="98" spans="1:248" ht="16.5" customHeight="1" thickBot="1">
      <c r="A98" s="242" t="s">
        <v>542</v>
      </c>
      <c r="B98" s="243" t="s">
        <v>543</v>
      </c>
      <c r="C98" s="311">
        <f>C87+C88</f>
        <v>3516.8688660000003</v>
      </c>
      <c r="D98" s="328">
        <f>C98/$C$100*1000</f>
        <v>2886.9388162863243</v>
      </c>
      <c r="E98" s="345">
        <f>E87+E88</f>
        <v>2545.7779826</v>
      </c>
      <c r="F98" s="311">
        <f>E98/$E$100*1000</f>
        <v>2737.807823328243</v>
      </c>
      <c r="G98" s="251">
        <f t="shared" si="8"/>
        <v>72.38762887100494</v>
      </c>
      <c r="H98" s="211">
        <f t="shared" si="9"/>
        <v>94.8342863341344</v>
      </c>
      <c r="I98" s="350"/>
      <c r="J98" s="350"/>
      <c r="K98" s="235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4"/>
      <c r="CL98" s="234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4"/>
      <c r="DE98" s="234"/>
      <c r="DF98" s="234"/>
      <c r="DG98" s="234"/>
      <c r="DH98" s="234"/>
      <c r="DI98" s="234"/>
      <c r="DJ98" s="234"/>
      <c r="DK98" s="234"/>
      <c r="DL98" s="234"/>
      <c r="DM98" s="234"/>
      <c r="DN98" s="234"/>
      <c r="DO98" s="234"/>
      <c r="DP98" s="234"/>
      <c r="DQ98" s="234"/>
      <c r="DR98" s="234"/>
      <c r="DS98" s="234"/>
      <c r="DT98" s="234"/>
      <c r="DU98" s="234"/>
      <c r="DV98" s="234"/>
      <c r="DW98" s="234"/>
      <c r="DX98" s="234"/>
      <c r="DY98" s="234"/>
      <c r="DZ98" s="234"/>
      <c r="EA98" s="234"/>
      <c r="EB98" s="234"/>
      <c r="EC98" s="234"/>
      <c r="ED98" s="234"/>
      <c r="EE98" s="234"/>
      <c r="EF98" s="234"/>
      <c r="EG98" s="234"/>
      <c r="EH98" s="234"/>
      <c r="EI98" s="234"/>
      <c r="EJ98" s="234"/>
      <c r="EK98" s="234"/>
      <c r="EL98" s="234"/>
      <c r="EM98" s="234"/>
      <c r="EN98" s="234"/>
      <c r="EO98" s="234"/>
      <c r="EP98" s="234"/>
      <c r="EQ98" s="234"/>
      <c r="ER98" s="234"/>
      <c r="ES98" s="234"/>
      <c r="ET98" s="234"/>
      <c r="EU98" s="234"/>
      <c r="EV98" s="234"/>
      <c r="EW98" s="234"/>
      <c r="EX98" s="234"/>
      <c r="EY98" s="234"/>
      <c r="EZ98" s="234"/>
      <c r="FA98" s="234"/>
      <c r="FB98" s="234"/>
      <c r="FC98" s="234"/>
      <c r="FD98" s="234"/>
      <c r="FE98" s="234"/>
      <c r="FF98" s="234"/>
      <c r="FG98" s="234"/>
      <c r="FH98" s="234"/>
      <c r="FI98" s="234"/>
      <c r="FJ98" s="234"/>
      <c r="FK98" s="234"/>
      <c r="FL98" s="234"/>
      <c r="FM98" s="234"/>
      <c r="FN98" s="234"/>
      <c r="FO98" s="234"/>
      <c r="FP98" s="234"/>
      <c r="FQ98" s="234"/>
      <c r="FR98" s="234"/>
      <c r="FS98" s="234"/>
      <c r="FT98" s="234"/>
      <c r="FU98" s="234"/>
      <c r="FV98" s="234"/>
      <c r="FW98" s="234"/>
      <c r="FX98" s="234"/>
      <c r="FY98" s="234"/>
      <c r="FZ98" s="234"/>
      <c r="GA98" s="234"/>
      <c r="GB98" s="234"/>
      <c r="GC98" s="234"/>
      <c r="GD98" s="234"/>
      <c r="GE98" s="234"/>
      <c r="GF98" s="234"/>
      <c r="GG98" s="234"/>
      <c r="GH98" s="234"/>
      <c r="GI98" s="234"/>
      <c r="GJ98" s="234"/>
      <c r="GK98" s="234"/>
      <c r="GL98" s="234"/>
      <c r="GM98" s="234"/>
      <c r="GN98" s="234"/>
      <c r="GO98" s="234"/>
      <c r="GP98" s="234"/>
      <c r="GQ98" s="234"/>
      <c r="GR98" s="234"/>
      <c r="GS98" s="234"/>
      <c r="GT98" s="234"/>
      <c r="GU98" s="234"/>
      <c r="GV98" s="234"/>
      <c r="GW98" s="234"/>
      <c r="GX98" s="234"/>
      <c r="GY98" s="234"/>
      <c r="GZ98" s="234"/>
      <c r="HA98" s="234"/>
      <c r="HB98" s="234"/>
      <c r="HC98" s="234"/>
      <c r="HD98" s="234"/>
      <c r="HE98" s="234"/>
      <c r="HF98" s="234"/>
      <c r="HG98" s="234"/>
      <c r="HH98" s="234"/>
      <c r="HI98" s="234"/>
      <c r="HJ98" s="234"/>
      <c r="HK98" s="234"/>
      <c r="HL98" s="234"/>
      <c r="HM98" s="234"/>
      <c r="HN98" s="234"/>
      <c r="HO98" s="234"/>
      <c r="HP98" s="234"/>
      <c r="HQ98" s="234"/>
      <c r="HR98" s="234"/>
      <c r="HS98" s="234"/>
      <c r="HT98" s="234"/>
      <c r="HU98" s="234"/>
      <c r="HV98" s="234"/>
      <c r="HW98" s="234"/>
      <c r="HX98" s="234"/>
      <c r="HY98" s="234"/>
      <c r="HZ98" s="234"/>
      <c r="IA98" s="234"/>
      <c r="IB98" s="234"/>
      <c r="IC98" s="234"/>
      <c r="ID98" s="234"/>
      <c r="IE98" s="234"/>
      <c r="IF98" s="234"/>
      <c r="IG98" s="234"/>
      <c r="IH98" s="234"/>
      <c r="II98" s="234"/>
      <c r="IJ98" s="234"/>
      <c r="IK98" s="234"/>
      <c r="IL98" s="234"/>
      <c r="IM98" s="234"/>
      <c r="IN98" s="234"/>
    </row>
    <row r="99" spans="1:10" ht="15">
      <c r="A99" s="244"/>
      <c r="B99" s="245"/>
      <c r="C99" s="313"/>
      <c r="D99" s="313"/>
      <c r="E99" s="334"/>
      <c r="F99" s="346"/>
      <c r="G99" s="214"/>
      <c r="H99" s="215"/>
      <c r="I99" s="354"/>
      <c r="J99" s="354"/>
    </row>
    <row r="100" spans="1:248" ht="15.75" customHeight="1">
      <c r="A100" s="232" t="s">
        <v>544</v>
      </c>
      <c r="B100" s="120" t="s">
        <v>291</v>
      </c>
      <c r="C100" s="347">
        <f>C103+C104+C105</f>
        <v>1218.2</v>
      </c>
      <c r="D100" s="336"/>
      <c r="E100" s="347">
        <f>E103+E104+E105</f>
        <v>929.86</v>
      </c>
      <c r="F100" s="337"/>
      <c r="G100" s="217">
        <f t="shared" si="8"/>
        <v>76.33065178131669</v>
      </c>
      <c r="H100" s="216"/>
      <c r="I100" s="361"/>
      <c r="J100" s="361"/>
      <c r="K100" s="235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4"/>
      <c r="CL100" s="234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4"/>
      <c r="DE100" s="234"/>
      <c r="DF100" s="234"/>
      <c r="DG100" s="234"/>
      <c r="DH100" s="234"/>
      <c r="DI100" s="234"/>
      <c r="DJ100" s="234"/>
      <c r="DK100" s="234"/>
      <c r="DL100" s="234"/>
      <c r="DM100" s="234"/>
      <c r="DN100" s="234"/>
      <c r="DO100" s="234"/>
      <c r="DP100" s="234"/>
      <c r="DQ100" s="234"/>
      <c r="DR100" s="234"/>
      <c r="DS100" s="234"/>
      <c r="DT100" s="234"/>
      <c r="DU100" s="234"/>
      <c r="DV100" s="234"/>
      <c r="DW100" s="234"/>
      <c r="DX100" s="234"/>
      <c r="DY100" s="234"/>
      <c r="DZ100" s="234"/>
      <c r="EA100" s="234"/>
      <c r="EB100" s="234"/>
      <c r="EC100" s="234"/>
      <c r="ED100" s="234"/>
      <c r="EE100" s="234"/>
      <c r="EF100" s="234"/>
      <c r="EG100" s="234"/>
      <c r="EH100" s="234"/>
      <c r="EI100" s="234"/>
      <c r="EJ100" s="234"/>
      <c r="EK100" s="234"/>
      <c r="EL100" s="234"/>
      <c r="EM100" s="234"/>
      <c r="EN100" s="234"/>
      <c r="EO100" s="234"/>
      <c r="EP100" s="234"/>
      <c r="EQ100" s="234"/>
      <c r="ER100" s="234"/>
      <c r="ES100" s="234"/>
      <c r="ET100" s="234"/>
      <c r="EU100" s="234"/>
      <c r="EV100" s="234"/>
      <c r="EW100" s="234"/>
      <c r="EX100" s="234"/>
      <c r="EY100" s="234"/>
      <c r="EZ100" s="234"/>
      <c r="FA100" s="234"/>
      <c r="FB100" s="234"/>
      <c r="FC100" s="234"/>
      <c r="FD100" s="234"/>
      <c r="FE100" s="234"/>
      <c r="FF100" s="234"/>
      <c r="FG100" s="234"/>
      <c r="FH100" s="234"/>
      <c r="FI100" s="234"/>
      <c r="FJ100" s="234"/>
      <c r="FK100" s="234"/>
      <c r="FL100" s="234"/>
      <c r="FM100" s="234"/>
      <c r="FN100" s="234"/>
      <c r="FO100" s="234"/>
      <c r="FP100" s="234"/>
      <c r="FQ100" s="234"/>
      <c r="FR100" s="234"/>
      <c r="FS100" s="234"/>
      <c r="FT100" s="234"/>
      <c r="FU100" s="234"/>
      <c r="FV100" s="234"/>
      <c r="FW100" s="234"/>
      <c r="FX100" s="234"/>
      <c r="FY100" s="234"/>
      <c r="FZ100" s="234"/>
      <c r="GA100" s="234"/>
      <c r="GB100" s="234"/>
      <c r="GC100" s="234"/>
      <c r="GD100" s="234"/>
      <c r="GE100" s="234"/>
      <c r="GF100" s="234"/>
      <c r="GG100" s="234"/>
      <c r="GH100" s="234"/>
      <c r="GI100" s="234"/>
      <c r="GJ100" s="234"/>
      <c r="GK100" s="234"/>
      <c r="GL100" s="234"/>
      <c r="GM100" s="234"/>
      <c r="GN100" s="234"/>
      <c r="GO100" s="234"/>
      <c r="GP100" s="234"/>
      <c r="GQ100" s="234"/>
      <c r="GR100" s="234"/>
      <c r="GS100" s="234"/>
      <c r="GT100" s="234"/>
      <c r="GU100" s="234"/>
      <c r="GV100" s="234"/>
      <c r="GW100" s="234"/>
      <c r="GX100" s="234"/>
      <c r="GY100" s="234"/>
      <c r="GZ100" s="234"/>
      <c r="HA100" s="234"/>
      <c r="HB100" s="234"/>
      <c r="HC100" s="234"/>
      <c r="HD100" s="234"/>
      <c r="HE100" s="234"/>
      <c r="HF100" s="234"/>
      <c r="HG100" s="234"/>
      <c r="HH100" s="234"/>
      <c r="HI100" s="234"/>
      <c r="HJ100" s="234"/>
      <c r="HK100" s="234"/>
      <c r="HL100" s="234"/>
      <c r="HM100" s="234"/>
      <c r="HN100" s="234"/>
      <c r="HO100" s="234"/>
      <c r="HP100" s="234"/>
      <c r="HQ100" s="234"/>
      <c r="HR100" s="234"/>
      <c r="HS100" s="234"/>
      <c r="HT100" s="234"/>
      <c r="HU100" s="234"/>
      <c r="HV100" s="234"/>
      <c r="HW100" s="234"/>
      <c r="HX100" s="234"/>
      <c r="HY100" s="234"/>
      <c r="HZ100" s="234"/>
      <c r="IA100" s="234"/>
      <c r="IB100" s="234"/>
      <c r="IC100" s="234"/>
      <c r="ID100" s="234"/>
      <c r="IE100" s="234"/>
      <c r="IF100" s="234"/>
      <c r="IG100" s="234"/>
      <c r="IH100" s="234"/>
      <c r="II100" s="234"/>
      <c r="IJ100" s="234"/>
      <c r="IK100" s="234"/>
      <c r="IL100" s="234"/>
      <c r="IM100" s="234"/>
      <c r="IN100" s="234"/>
    </row>
    <row r="101" spans="1:248" ht="15" customHeight="1">
      <c r="A101" s="232"/>
      <c r="B101" s="255" t="s">
        <v>569</v>
      </c>
      <c r="C101" s="347">
        <v>1218.2</v>
      </c>
      <c r="D101" s="336"/>
      <c r="E101" s="347">
        <v>929.86</v>
      </c>
      <c r="F101" s="337"/>
      <c r="G101" s="217">
        <f t="shared" si="8"/>
        <v>76.33065178131669</v>
      </c>
      <c r="H101" s="216"/>
      <c r="I101" s="361"/>
      <c r="J101" s="361"/>
      <c r="K101" s="235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4"/>
      <c r="CL101" s="234"/>
      <c r="CM101" s="234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4"/>
      <c r="DE101" s="234"/>
      <c r="DF101" s="234"/>
      <c r="DG101" s="234"/>
      <c r="DH101" s="234"/>
      <c r="DI101" s="234"/>
      <c r="DJ101" s="234"/>
      <c r="DK101" s="234"/>
      <c r="DL101" s="234"/>
      <c r="DM101" s="234"/>
      <c r="DN101" s="234"/>
      <c r="DO101" s="234"/>
      <c r="DP101" s="234"/>
      <c r="DQ101" s="234"/>
      <c r="DR101" s="234"/>
      <c r="DS101" s="234"/>
      <c r="DT101" s="234"/>
      <c r="DU101" s="234"/>
      <c r="DV101" s="234"/>
      <c r="DW101" s="234"/>
      <c r="DX101" s="234"/>
      <c r="DY101" s="234"/>
      <c r="DZ101" s="234"/>
      <c r="EA101" s="234"/>
      <c r="EB101" s="234"/>
      <c r="EC101" s="234"/>
      <c r="ED101" s="234"/>
      <c r="EE101" s="234"/>
      <c r="EF101" s="234"/>
      <c r="EG101" s="234"/>
      <c r="EH101" s="234"/>
      <c r="EI101" s="234"/>
      <c r="EJ101" s="234"/>
      <c r="EK101" s="234"/>
      <c r="EL101" s="234"/>
      <c r="EM101" s="234"/>
      <c r="EN101" s="234"/>
      <c r="EO101" s="234"/>
      <c r="EP101" s="234"/>
      <c r="EQ101" s="234"/>
      <c r="ER101" s="234"/>
      <c r="ES101" s="234"/>
      <c r="ET101" s="234"/>
      <c r="EU101" s="234"/>
      <c r="EV101" s="234"/>
      <c r="EW101" s="234"/>
      <c r="EX101" s="234"/>
      <c r="EY101" s="234"/>
      <c r="EZ101" s="234"/>
      <c r="FA101" s="234"/>
      <c r="FB101" s="234"/>
      <c r="FC101" s="234"/>
      <c r="FD101" s="234"/>
      <c r="FE101" s="234"/>
      <c r="FF101" s="234"/>
      <c r="FG101" s="234"/>
      <c r="FH101" s="234"/>
      <c r="FI101" s="234"/>
      <c r="FJ101" s="234"/>
      <c r="FK101" s="234"/>
      <c r="FL101" s="234"/>
      <c r="FM101" s="234"/>
      <c r="FN101" s="234"/>
      <c r="FO101" s="234"/>
      <c r="FP101" s="234"/>
      <c r="FQ101" s="234"/>
      <c r="FR101" s="234"/>
      <c r="FS101" s="234"/>
      <c r="FT101" s="234"/>
      <c r="FU101" s="234"/>
      <c r="FV101" s="234"/>
      <c r="FW101" s="234"/>
      <c r="FX101" s="234"/>
      <c r="FY101" s="234"/>
      <c r="FZ101" s="234"/>
      <c r="GA101" s="234"/>
      <c r="GB101" s="234"/>
      <c r="GC101" s="234"/>
      <c r="GD101" s="234"/>
      <c r="GE101" s="234"/>
      <c r="GF101" s="234"/>
      <c r="GG101" s="234"/>
      <c r="GH101" s="234"/>
      <c r="GI101" s="234"/>
      <c r="GJ101" s="234"/>
      <c r="GK101" s="234"/>
      <c r="GL101" s="234"/>
      <c r="GM101" s="234"/>
      <c r="GN101" s="234"/>
      <c r="GO101" s="234"/>
      <c r="GP101" s="234"/>
      <c r="GQ101" s="234"/>
      <c r="GR101" s="234"/>
      <c r="GS101" s="234"/>
      <c r="GT101" s="234"/>
      <c r="GU101" s="234"/>
      <c r="GV101" s="234"/>
      <c r="GW101" s="234"/>
      <c r="GX101" s="234"/>
      <c r="GY101" s="234"/>
      <c r="GZ101" s="234"/>
      <c r="HA101" s="234"/>
      <c r="HB101" s="234"/>
      <c r="HC101" s="234"/>
      <c r="HD101" s="234"/>
      <c r="HE101" s="234"/>
      <c r="HF101" s="234"/>
      <c r="HG101" s="234"/>
      <c r="HH101" s="234"/>
      <c r="HI101" s="234"/>
      <c r="HJ101" s="234"/>
      <c r="HK101" s="234"/>
      <c r="HL101" s="234"/>
      <c r="HM101" s="234"/>
      <c r="HN101" s="234"/>
      <c r="HO101" s="234"/>
      <c r="HP101" s="234"/>
      <c r="HQ101" s="234"/>
      <c r="HR101" s="234"/>
      <c r="HS101" s="234"/>
      <c r="HT101" s="234"/>
      <c r="HU101" s="234"/>
      <c r="HV101" s="234"/>
      <c r="HW101" s="234"/>
      <c r="HX101" s="234"/>
      <c r="HY101" s="234"/>
      <c r="HZ101" s="234"/>
      <c r="IA101" s="234"/>
      <c r="IB101" s="234"/>
      <c r="IC101" s="234"/>
      <c r="ID101" s="234"/>
      <c r="IE101" s="234"/>
      <c r="IF101" s="234"/>
      <c r="IG101" s="234"/>
      <c r="IH101" s="234"/>
      <c r="II101" s="234"/>
      <c r="IJ101" s="234"/>
      <c r="IK101" s="234"/>
      <c r="IL101" s="234"/>
      <c r="IM101" s="234"/>
      <c r="IN101" s="234"/>
    </row>
    <row r="102" spans="1:248" ht="13.5" customHeight="1">
      <c r="A102" s="232"/>
      <c r="B102" s="255" t="s">
        <v>570</v>
      </c>
      <c r="C102" s="347"/>
      <c r="D102" s="336"/>
      <c r="E102" s="347"/>
      <c r="F102" s="337"/>
      <c r="G102" s="366" t="e">
        <f t="shared" si="8"/>
        <v>#DIV/0!</v>
      </c>
      <c r="H102" s="216"/>
      <c r="I102" s="361"/>
      <c r="J102" s="361"/>
      <c r="K102" s="235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4"/>
      <c r="CL102" s="234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4"/>
      <c r="DE102" s="234"/>
      <c r="DF102" s="234"/>
      <c r="DG102" s="234"/>
      <c r="DH102" s="234"/>
      <c r="DI102" s="234"/>
      <c r="DJ102" s="234"/>
      <c r="DK102" s="234"/>
      <c r="DL102" s="234"/>
      <c r="DM102" s="234"/>
      <c r="DN102" s="234"/>
      <c r="DO102" s="234"/>
      <c r="DP102" s="234"/>
      <c r="DQ102" s="234"/>
      <c r="DR102" s="234"/>
      <c r="DS102" s="234"/>
      <c r="DT102" s="234"/>
      <c r="DU102" s="234"/>
      <c r="DV102" s="234"/>
      <c r="DW102" s="234"/>
      <c r="DX102" s="234"/>
      <c r="DY102" s="234"/>
      <c r="DZ102" s="234"/>
      <c r="EA102" s="234"/>
      <c r="EB102" s="234"/>
      <c r="EC102" s="234"/>
      <c r="ED102" s="234"/>
      <c r="EE102" s="234"/>
      <c r="EF102" s="234"/>
      <c r="EG102" s="234"/>
      <c r="EH102" s="234"/>
      <c r="EI102" s="234"/>
      <c r="EJ102" s="234"/>
      <c r="EK102" s="234"/>
      <c r="EL102" s="234"/>
      <c r="EM102" s="234"/>
      <c r="EN102" s="234"/>
      <c r="EO102" s="234"/>
      <c r="EP102" s="234"/>
      <c r="EQ102" s="234"/>
      <c r="ER102" s="234"/>
      <c r="ES102" s="234"/>
      <c r="ET102" s="234"/>
      <c r="EU102" s="234"/>
      <c r="EV102" s="234"/>
      <c r="EW102" s="234"/>
      <c r="EX102" s="234"/>
      <c r="EY102" s="234"/>
      <c r="EZ102" s="234"/>
      <c r="FA102" s="234"/>
      <c r="FB102" s="234"/>
      <c r="FC102" s="234"/>
      <c r="FD102" s="234"/>
      <c r="FE102" s="234"/>
      <c r="FF102" s="234"/>
      <c r="FG102" s="234"/>
      <c r="FH102" s="234"/>
      <c r="FI102" s="234"/>
      <c r="FJ102" s="234"/>
      <c r="FK102" s="234"/>
      <c r="FL102" s="234"/>
      <c r="FM102" s="234"/>
      <c r="FN102" s="234"/>
      <c r="FO102" s="234"/>
      <c r="FP102" s="234"/>
      <c r="FQ102" s="234"/>
      <c r="FR102" s="234"/>
      <c r="FS102" s="234"/>
      <c r="FT102" s="234"/>
      <c r="FU102" s="234"/>
      <c r="FV102" s="234"/>
      <c r="FW102" s="234"/>
      <c r="FX102" s="234"/>
      <c r="FY102" s="234"/>
      <c r="FZ102" s="234"/>
      <c r="GA102" s="234"/>
      <c r="GB102" s="234"/>
      <c r="GC102" s="234"/>
      <c r="GD102" s="234"/>
      <c r="GE102" s="234"/>
      <c r="GF102" s="234"/>
      <c r="GG102" s="234"/>
      <c r="GH102" s="234"/>
      <c r="GI102" s="234"/>
      <c r="GJ102" s="234"/>
      <c r="GK102" s="234"/>
      <c r="GL102" s="234"/>
      <c r="GM102" s="234"/>
      <c r="GN102" s="234"/>
      <c r="GO102" s="234"/>
      <c r="GP102" s="234"/>
      <c r="GQ102" s="234"/>
      <c r="GR102" s="234"/>
      <c r="GS102" s="234"/>
      <c r="GT102" s="234"/>
      <c r="GU102" s="234"/>
      <c r="GV102" s="234"/>
      <c r="GW102" s="234"/>
      <c r="GX102" s="234"/>
      <c r="GY102" s="234"/>
      <c r="GZ102" s="234"/>
      <c r="HA102" s="234"/>
      <c r="HB102" s="234"/>
      <c r="HC102" s="234"/>
      <c r="HD102" s="234"/>
      <c r="HE102" s="234"/>
      <c r="HF102" s="234"/>
      <c r="HG102" s="234"/>
      <c r="HH102" s="234"/>
      <c r="HI102" s="234"/>
      <c r="HJ102" s="234"/>
      <c r="HK102" s="234"/>
      <c r="HL102" s="234"/>
      <c r="HM102" s="234"/>
      <c r="HN102" s="234"/>
      <c r="HO102" s="234"/>
      <c r="HP102" s="234"/>
      <c r="HQ102" s="234"/>
      <c r="HR102" s="234"/>
      <c r="HS102" s="234"/>
      <c r="HT102" s="234"/>
      <c r="HU102" s="234"/>
      <c r="HV102" s="234"/>
      <c r="HW102" s="234"/>
      <c r="HX102" s="234"/>
      <c r="HY102" s="234"/>
      <c r="HZ102" s="234"/>
      <c r="IA102" s="234"/>
      <c r="IB102" s="234"/>
      <c r="IC102" s="234"/>
      <c r="ID102" s="234"/>
      <c r="IE102" s="234"/>
      <c r="IF102" s="234"/>
      <c r="IG102" s="234"/>
      <c r="IH102" s="234"/>
      <c r="II102" s="234"/>
      <c r="IJ102" s="234"/>
      <c r="IK102" s="234"/>
      <c r="IL102" s="234"/>
      <c r="IM102" s="234"/>
      <c r="IN102" s="234"/>
    </row>
    <row r="103" spans="1:10" ht="16.5" customHeight="1">
      <c r="A103" s="218" t="s">
        <v>545</v>
      </c>
      <c r="B103" s="219" t="s">
        <v>292</v>
      </c>
      <c r="C103" s="348">
        <v>1218.2</v>
      </c>
      <c r="D103" s="318"/>
      <c r="E103" s="348">
        <v>929.86</v>
      </c>
      <c r="F103" s="320"/>
      <c r="G103" s="217">
        <f t="shared" si="8"/>
        <v>76.33065178131669</v>
      </c>
      <c r="H103" s="216"/>
      <c r="I103" s="355"/>
      <c r="J103" s="355"/>
    </row>
    <row r="104" spans="1:10" ht="15.75" customHeight="1">
      <c r="A104" s="218" t="s">
        <v>546</v>
      </c>
      <c r="B104" s="219" t="s">
        <v>293</v>
      </c>
      <c r="C104" s="348"/>
      <c r="D104" s="318"/>
      <c r="E104" s="348"/>
      <c r="F104" s="320"/>
      <c r="G104" s="366" t="e">
        <f t="shared" si="8"/>
        <v>#DIV/0!</v>
      </c>
      <c r="H104" s="216"/>
      <c r="I104" s="355"/>
      <c r="J104" s="355"/>
    </row>
    <row r="105" spans="1:248" ht="15.75" customHeight="1">
      <c r="A105" s="218" t="s">
        <v>547</v>
      </c>
      <c r="B105" s="219" t="s">
        <v>294</v>
      </c>
      <c r="C105" s="349"/>
      <c r="D105" s="318"/>
      <c r="E105" s="349"/>
      <c r="F105" s="320"/>
      <c r="G105" s="366" t="e">
        <f t="shared" si="8"/>
        <v>#DIV/0!</v>
      </c>
      <c r="H105" s="216"/>
      <c r="I105" s="355"/>
      <c r="J105" s="355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6"/>
      <c r="CQ105" s="206"/>
      <c r="CR105" s="206"/>
      <c r="CS105" s="206"/>
      <c r="CT105" s="206"/>
      <c r="CU105" s="206"/>
      <c r="CV105" s="206"/>
      <c r="CW105" s="206"/>
      <c r="CX105" s="206"/>
      <c r="CY105" s="206"/>
      <c r="CZ105" s="206"/>
      <c r="DA105" s="206"/>
      <c r="DB105" s="206"/>
      <c r="DC105" s="206"/>
      <c r="DD105" s="206"/>
      <c r="DE105" s="206"/>
      <c r="DF105" s="206"/>
      <c r="DG105" s="206"/>
      <c r="DH105" s="206"/>
      <c r="DI105" s="206"/>
      <c r="DJ105" s="206"/>
      <c r="DK105" s="206"/>
      <c r="DL105" s="206"/>
      <c r="DM105" s="206"/>
      <c r="DN105" s="206"/>
      <c r="DO105" s="206"/>
      <c r="DP105" s="206"/>
      <c r="DQ105" s="206"/>
      <c r="DR105" s="206"/>
      <c r="DS105" s="206"/>
      <c r="DT105" s="206"/>
      <c r="DU105" s="206"/>
      <c r="DV105" s="206"/>
      <c r="DW105" s="206"/>
      <c r="DX105" s="206"/>
      <c r="DY105" s="206"/>
      <c r="DZ105" s="206"/>
      <c r="EA105" s="206"/>
      <c r="EB105" s="206"/>
      <c r="EC105" s="206"/>
      <c r="ED105" s="206"/>
      <c r="EE105" s="206"/>
      <c r="EF105" s="206"/>
      <c r="EG105" s="206"/>
      <c r="EH105" s="206"/>
      <c r="EI105" s="206"/>
      <c r="EJ105" s="206"/>
      <c r="EK105" s="206"/>
      <c r="EL105" s="206"/>
      <c r="EM105" s="206"/>
      <c r="EN105" s="206"/>
      <c r="EO105" s="206"/>
      <c r="EP105" s="206"/>
      <c r="EQ105" s="206"/>
      <c r="ER105" s="206"/>
      <c r="ES105" s="206"/>
      <c r="ET105" s="206"/>
      <c r="EU105" s="206"/>
      <c r="EV105" s="206"/>
      <c r="EW105" s="206"/>
      <c r="EX105" s="206"/>
      <c r="EY105" s="206"/>
      <c r="EZ105" s="206"/>
      <c r="FA105" s="206"/>
      <c r="FB105" s="206"/>
      <c r="FC105" s="206"/>
      <c r="FD105" s="206"/>
      <c r="FE105" s="206"/>
      <c r="FF105" s="206"/>
      <c r="FG105" s="206"/>
      <c r="FH105" s="206"/>
      <c r="FI105" s="206"/>
      <c r="FJ105" s="206"/>
      <c r="FK105" s="206"/>
      <c r="FL105" s="206"/>
      <c r="FM105" s="206"/>
      <c r="FN105" s="206"/>
      <c r="FO105" s="206"/>
      <c r="FP105" s="206"/>
      <c r="FQ105" s="206"/>
      <c r="FR105" s="206"/>
      <c r="FS105" s="206"/>
      <c r="FT105" s="206"/>
      <c r="FU105" s="206"/>
      <c r="FV105" s="206"/>
      <c r="FW105" s="206"/>
      <c r="FX105" s="206"/>
      <c r="FY105" s="206"/>
      <c r="FZ105" s="206"/>
      <c r="GA105" s="206"/>
      <c r="GB105" s="206"/>
      <c r="GC105" s="206"/>
      <c r="GD105" s="206"/>
      <c r="GE105" s="206"/>
      <c r="GF105" s="206"/>
      <c r="GG105" s="206"/>
      <c r="GH105" s="206"/>
      <c r="GI105" s="206"/>
      <c r="GJ105" s="206"/>
      <c r="GK105" s="206"/>
      <c r="GL105" s="206"/>
      <c r="GM105" s="206"/>
      <c r="GN105" s="206"/>
      <c r="GO105" s="206"/>
      <c r="GP105" s="206"/>
      <c r="GQ105" s="206"/>
      <c r="GR105" s="206"/>
      <c r="GS105" s="206"/>
      <c r="GT105" s="206"/>
      <c r="GU105" s="206"/>
      <c r="GV105" s="206"/>
      <c r="GW105" s="206"/>
      <c r="GX105" s="206"/>
      <c r="GY105" s="206"/>
      <c r="GZ105" s="206"/>
      <c r="HA105" s="206"/>
      <c r="HB105" s="206"/>
      <c r="HC105" s="206"/>
      <c r="HD105" s="206"/>
      <c r="HE105" s="206"/>
      <c r="HF105" s="206"/>
      <c r="HG105" s="206"/>
      <c r="HH105" s="206"/>
      <c r="HI105" s="206"/>
      <c r="HJ105" s="206"/>
      <c r="HK105" s="206"/>
      <c r="HL105" s="206"/>
      <c r="HM105" s="206"/>
      <c r="HN105" s="206"/>
      <c r="HO105" s="206"/>
      <c r="HP105" s="206"/>
      <c r="HQ105" s="206"/>
      <c r="HR105" s="206"/>
      <c r="HS105" s="206"/>
      <c r="HT105" s="206"/>
      <c r="HU105" s="206"/>
      <c r="HV105" s="206"/>
      <c r="HW105" s="206"/>
      <c r="HX105" s="206"/>
      <c r="HY105" s="206"/>
      <c r="HZ105" s="206"/>
      <c r="IA105" s="206"/>
      <c r="IB105" s="206"/>
      <c r="IC105" s="206"/>
      <c r="ID105" s="206"/>
      <c r="IE105" s="206"/>
      <c r="IF105" s="206"/>
      <c r="IG105" s="206"/>
      <c r="IH105" s="206"/>
      <c r="II105" s="206"/>
      <c r="IJ105" s="206"/>
      <c r="IK105" s="206"/>
      <c r="IL105" s="206"/>
      <c r="IM105" s="206"/>
      <c r="IN105" s="206"/>
    </row>
    <row r="106" spans="1:248" ht="15">
      <c r="A106" s="232"/>
      <c r="B106" s="120" t="s">
        <v>401</v>
      </c>
      <c r="C106" s="347">
        <v>0</v>
      </c>
      <c r="D106" s="336"/>
      <c r="E106" s="347">
        <v>0</v>
      </c>
      <c r="F106" s="337"/>
      <c r="G106" s="366" t="e">
        <f t="shared" si="8"/>
        <v>#DIV/0!</v>
      </c>
      <c r="H106" s="216"/>
      <c r="I106" s="361"/>
      <c r="J106" s="361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235"/>
      <c r="CT106" s="235"/>
      <c r="CU106" s="235"/>
      <c r="CV106" s="235"/>
      <c r="CW106" s="235"/>
      <c r="CX106" s="235"/>
      <c r="CY106" s="235"/>
      <c r="CZ106" s="235"/>
      <c r="DA106" s="235"/>
      <c r="DB106" s="235"/>
      <c r="DC106" s="235"/>
      <c r="DD106" s="235"/>
      <c r="DE106" s="235"/>
      <c r="DF106" s="235"/>
      <c r="DG106" s="235"/>
      <c r="DH106" s="235"/>
      <c r="DI106" s="235"/>
      <c r="DJ106" s="235"/>
      <c r="DK106" s="235"/>
      <c r="DL106" s="235"/>
      <c r="DM106" s="235"/>
      <c r="DN106" s="235"/>
      <c r="DO106" s="235"/>
      <c r="DP106" s="235"/>
      <c r="DQ106" s="235"/>
      <c r="DR106" s="235"/>
      <c r="DS106" s="235"/>
      <c r="DT106" s="235"/>
      <c r="DU106" s="235"/>
      <c r="DV106" s="235"/>
      <c r="DW106" s="235"/>
      <c r="DX106" s="235"/>
      <c r="DY106" s="235"/>
      <c r="DZ106" s="235"/>
      <c r="EA106" s="235"/>
      <c r="EB106" s="235"/>
      <c r="EC106" s="235"/>
      <c r="ED106" s="235"/>
      <c r="EE106" s="235"/>
      <c r="EF106" s="235"/>
      <c r="EG106" s="235"/>
      <c r="EH106" s="235"/>
      <c r="EI106" s="235"/>
      <c r="EJ106" s="235"/>
      <c r="EK106" s="235"/>
      <c r="EL106" s="235"/>
      <c r="EM106" s="235"/>
      <c r="EN106" s="235"/>
      <c r="EO106" s="235"/>
      <c r="EP106" s="235"/>
      <c r="EQ106" s="235"/>
      <c r="ER106" s="235"/>
      <c r="ES106" s="235"/>
      <c r="ET106" s="235"/>
      <c r="EU106" s="235"/>
      <c r="EV106" s="235"/>
      <c r="EW106" s="235"/>
      <c r="EX106" s="235"/>
      <c r="EY106" s="235"/>
      <c r="EZ106" s="235"/>
      <c r="FA106" s="235"/>
      <c r="FB106" s="235"/>
      <c r="FC106" s="235"/>
      <c r="FD106" s="235"/>
      <c r="FE106" s="235"/>
      <c r="FF106" s="235"/>
      <c r="FG106" s="235"/>
      <c r="FH106" s="235"/>
      <c r="FI106" s="235"/>
      <c r="FJ106" s="235"/>
      <c r="FK106" s="235"/>
      <c r="FL106" s="235"/>
      <c r="FM106" s="235"/>
      <c r="FN106" s="235"/>
      <c r="FO106" s="235"/>
      <c r="FP106" s="235"/>
      <c r="FQ106" s="235"/>
      <c r="FR106" s="235"/>
      <c r="FS106" s="235"/>
      <c r="FT106" s="235"/>
      <c r="FU106" s="235"/>
      <c r="FV106" s="235"/>
      <c r="FW106" s="235"/>
      <c r="FX106" s="235"/>
      <c r="FY106" s="235"/>
      <c r="FZ106" s="235"/>
      <c r="GA106" s="235"/>
      <c r="GB106" s="235"/>
      <c r="GC106" s="235"/>
      <c r="GD106" s="235"/>
      <c r="GE106" s="235"/>
      <c r="GF106" s="235"/>
      <c r="GG106" s="235"/>
      <c r="GH106" s="235"/>
      <c r="GI106" s="235"/>
      <c r="GJ106" s="235"/>
      <c r="GK106" s="235"/>
      <c r="GL106" s="235"/>
      <c r="GM106" s="235"/>
      <c r="GN106" s="235"/>
      <c r="GO106" s="235"/>
      <c r="GP106" s="235"/>
      <c r="GQ106" s="235"/>
      <c r="GR106" s="235"/>
      <c r="GS106" s="235"/>
      <c r="GT106" s="235"/>
      <c r="GU106" s="235"/>
      <c r="GV106" s="235"/>
      <c r="GW106" s="235"/>
      <c r="GX106" s="235"/>
      <c r="GY106" s="235"/>
      <c r="GZ106" s="235"/>
      <c r="HA106" s="235"/>
      <c r="HB106" s="235"/>
      <c r="HC106" s="235"/>
      <c r="HD106" s="235"/>
      <c r="HE106" s="235"/>
      <c r="HF106" s="235"/>
      <c r="HG106" s="235"/>
      <c r="HH106" s="235"/>
      <c r="HI106" s="235"/>
      <c r="HJ106" s="235"/>
      <c r="HK106" s="235"/>
      <c r="HL106" s="235"/>
      <c r="HM106" s="235"/>
      <c r="HN106" s="235"/>
      <c r="HO106" s="235"/>
      <c r="HP106" s="235"/>
      <c r="HQ106" s="235"/>
      <c r="HR106" s="235"/>
      <c r="HS106" s="235"/>
      <c r="HT106" s="235"/>
      <c r="HU106" s="235"/>
      <c r="HV106" s="235"/>
      <c r="HW106" s="235"/>
      <c r="HX106" s="235"/>
      <c r="HY106" s="235"/>
      <c r="HZ106" s="235"/>
      <c r="IA106" s="235"/>
      <c r="IB106" s="235"/>
      <c r="IC106" s="235"/>
      <c r="ID106" s="235"/>
      <c r="IE106" s="235"/>
      <c r="IF106" s="235"/>
      <c r="IG106" s="235"/>
      <c r="IH106" s="235"/>
      <c r="II106" s="235"/>
      <c r="IJ106" s="235"/>
      <c r="IK106" s="235"/>
      <c r="IL106" s="235"/>
      <c r="IM106" s="235"/>
      <c r="IN106" s="235"/>
    </row>
    <row r="107" spans="1:248" ht="15.75" customHeight="1">
      <c r="A107" s="232"/>
      <c r="B107" s="120" t="s">
        <v>548</v>
      </c>
      <c r="C107" s="336">
        <f>C108</f>
        <v>1218.2</v>
      </c>
      <c r="D107" s="336"/>
      <c r="E107" s="336">
        <f>E108</f>
        <v>929.86</v>
      </c>
      <c r="F107" s="337"/>
      <c r="G107" s="217">
        <f t="shared" si="8"/>
        <v>76.33065178131669</v>
      </c>
      <c r="H107" s="216"/>
      <c r="I107" s="361"/>
      <c r="J107" s="361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5"/>
      <c r="CQ107" s="235"/>
      <c r="CR107" s="235"/>
      <c r="CS107" s="235"/>
      <c r="CT107" s="235"/>
      <c r="CU107" s="235"/>
      <c r="CV107" s="235"/>
      <c r="CW107" s="235"/>
      <c r="CX107" s="235"/>
      <c r="CY107" s="235"/>
      <c r="CZ107" s="235"/>
      <c r="DA107" s="235"/>
      <c r="DB107" s="235"/>
      <c r="DC107" s="235"/>
      <c r="DD107" s="235"/>
      <c r="DE107" s="235"/>
      <c r="DF107" s="235"/>
      <c r="DG107" s="235"/>
      <c r="DH107" s="235"/>
      <c r="DI107" s="235"/>
      <c r="DJ107" s="235"/>
      <c r="DK107" s="235"/>
      <c r="DL107" s="235"/>
      <c r="DM107" s="235"/>
      <c r="DN107" s="235"/>
      <c r="DO107" s="235"/>
      <c r="DP107" s="235"/>
      <c r="DQ107" s="235"/>
      <c r="DR107" s="235"/>
      <c r="DS107" s="235"/>
      <c r="DT107" s="235"/>
      <c r="DU107" s="235"/>
      <c r="DV107" s="235"/>
      <c r="DW107" s="235"/>
      <c r="DX107" s="235"/>
      <c r="DY107" s="235"/>
      <c r="DZ107" s="235"/>
      <c r="EA107" s="235"/>
      <c r="EB107" s="235"/>
      <c r="EC107" s="235"/>
      <c r="ED107" s="235"/>
      <c r="EE107" s="235"/>
      <c r="EF107" s="235"/>
      <c r="EG107" s="235"/>
      <c r="EH107" s="235"/>
      <c r="EI107" s="235"/>
      <c r="EJ107" s="235"/>
      <c r="EK107" s="235"/>
      <c r="EL107" s="235"/>
      <c r="EM107" s="235"/>
      <c r="EN107" s="235"/>
      <c r="EO107" s="235"/>
      <c r="EP107" s="235"/>
      <c r="EQ107" s="235"/>
      <c r="ER107" s="235"/>
      <c r="ES107" s="235"/>
      <c r="ET107" s="235"/>
      <c r="EU107" s="235"/>
      <c r="EV107" s="235"/>
      <c r="EW107" s="235"/>
      <c r="EX107" s="235"/>
      <c r="EY107" s="235"/>
      <c r="EZ107" s="235"/>
      <c r="FA107" s="235"/>
      <c r="FB107" s="235"/>
      <c r="FC107" s="235"/>
      <c r="FD107" s="235"/>
      <c r="FE107" s="235"/>
      <c r="FF107" s="235"/>
      <c r="FG107" s="235"/>
      <c r="FH107" s="235"/>
      <c r="FI107" s="235"/>
      <c r="FJ107" s="235"/>
      <c r="FK107" s="235"/>
      <c r="FL107" s="235"/>
      <c r="FM107" s="235"/>
      <c r="FN107" s="235"/>
      <c r="FO107" s="235"/>
      <c r="FP107" s="235"/>
      <c r="FQ107" s="235"/>
      <c r="FR107" s="235"/>
      <c r="FS107" s="235"/>
      <c r="FT107" s="235"/>
      <c r="FU107" s="235"/>
      <c r="FV107" s="235"/>
      <c r="FW107" s="235"/>
      <c r="FX107" s="235"/>
      <c r="FY107" s="235"/>
      <c r="FZ107" s="235"/>
      <c r="GA107" s="235"/>
      <c r="GB107" s="235"/>
      <c r="GC107" s="235"/>
      <c r="GD107" s="235"/>
      <c r="GE107" s="235"/>
      <c r="GF107" s="235"/>
      <c r="GG107" s="235"/>
      <c r="GH107" s="235"/>
      <c r="GI107" s="235"/>
      <c r="GJ107" s="235"/>
      <c r="GK107" s="235"/>
      <c r="GL107" s="235"/>
      <c r="GM107" s="235"/>
      <c r="GN107" s="235"/>
      <c r="GO107" s="235"/>
      <c r="GP107" s="235"/>
      <c r="GQ107" s="235"/>
      <c r="GR107" s="235"/>
      <c r="GS107" s="235"/>
      <c r="GT107" s="235"/>
      <c r="GU107" s="235"/>
      <c r="GV107" s="235"/>
      <c r="GW107" s="235"/>
      <c r="GX107" s="235"/>
      <c r="GY107" s="235"/>
      <c r="GZ107" s="235"/>
      <c r="HA107" s="235"/>
      <c r="HB107" s="235"/>
      <c r="HC107" s="235"/>
      <c r="HD107" s="235"/>
      <c r="HE107" s="235"/>
      <c r="HF107" s="235"/>
      <c r="HG107" s="235"/>
      <c r="HH107" s="235"/>
      <c r="HI107" s="235"/>
      <c r="HJ107" s="235"/>
      <c r="HK107" s="235"/>
      <c r="HL107" s="235"/>
      <c r="HM107" s="235"/>
      <c r="HN107" s="235"/>
      <c r="HO107" s="235"/>
      <c r="HP107" s="235"/>
      <c r="HQ107" s="235"/>
      <c r="HR107" s="235"/>
      <c r="HS107" s="235"/>
      <c r="HT107" s="235"/>
      <c r="HU107" s="235"/>
      <c r="HV107" s="235"/>
      <c r="HW107" s="235"/>
      <c r="HX107" s="235"/>
      <c r="HY107" s="235"/>
      <c r="HZ107" s="235"/>
      <c r="IA107" s="235"/>
      <c r="IB107" s="235"/>
      <c r="IC107" s="235"/>
      <c r="ID107" s="235"/>
      <c r="IE107" s="235"/>
      <c r="IF107" s="235"/>
      <c r="IG107" s="235"/>
      <c r="IH107" s="235"/>
      <c r="II107" s="235"/>
      <c r="IJ107" s="235"/>
      <c r="IK107" s="235"/>
      <c r="IL107" s="235"/>
      <c r="IM107" s="235"/>
      <c r="IN107" s="235"/>
    </row>
    <row r="108" spans="1:248" ht="16.5" customHeight="1">
      <c r="A108" s="232"/>
      <c r="B108" s="120" t="s">
        <v>549</v>
      </c>
      <c r="C108" s="336">
        <f>C100+C106</f>
        <v>1218.2</v>
      </c>
      <c r="D108" s="336"/>
      <c r="E108" s="336">
        <f>E100+E106</f>
        <v>929.86</v>
      </c>
      <c r="F108" s="337"/>
      <c r="G108" s="217">
        <f t="shared" si="8"/>
        <v>76.33065178131669</v>
      </c>
      <c r="H108" s="216"/>
      <c r="I108" s="361"/>
      <c r="J108" s="361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5"/>
      <c r="AZ108" s="235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  <c r="BP108" s="235"/>
      <c r="BQ108" s="235"/>
      <c r="BR108" s="235"/>
      <c r="BS108" s="235"/>
      <c r="BT108" s="235"/>
      <c r="BU108" s="235"/>
      <c r="BV108" s="235"/>
      <c r="BW108" s="235"/>
      <c r="BX108" s="235"/>
      <c r="BY108" s="235"/>
      <c r="BZ108" s="235"/>
      <c r="CA108" s="235"/>
      <c r="CB108" s="235"/>
      <c r="CC108" s="235"/>
      <c r="CD108" s="235"/>
      <c r="CE108" s="235"/>
      <c r="CF108" s="235"/>
      <c r="CG108" s="235"/>
      <c r="CH108" s="235"/>
      <c r="CI108" s="235"/>
      <c r="CJ108" s="235"/>
      <c r="CK108" s="235"/>
      <c r="CL108" s="235"/>
      <c r="CM108" s="235"/>
      <c r="CN108" s="235"/>
      <c r="CO108" s="235"/>
      <c r="CP108" s="235"/>
      <c r="CQ108" s="235"/>
      <c r="CR108" s="235"/>
      <c r="CS108" s="235"/>
      <c r="CT108" s="235"/>
      <c r="CU108" s="235"/>
      <c r="CV108" s="235"/>
      <c r="CW108" s="235"/>
      <c r="CX108" s="235"/>
      <c r="CY108" s="235"/>
      <c r="CZ108" s="235"/>
      <c r="DA108" s="235"/>
      <c r="DB108" s="235"/>
      <c r="DC108" s="235"/>
      <c r="DD108" s="235"/>
      <c r="DE108" s="235"/>
      <c r="DF108" s="235"/>
      <c r="DG108" s="235"/>
      <c r="DH108" s="235"/>
      <c r="DI108" s="235"/>
      <c r="DJ108" s="235"/>
      <c r="DK108" s="235"/>
      <c r="DL108" s="235"/>
      <c r="DM108" s="235"/>
      <c r="DN108" s="235"/>
      <c r="DO108" s="235"/>
      <c r="DP108" s="235"/>
      <c r="DQ108" s="235"/>
      <c r="DR108" s="235"/>
      <c r="DS108" s="235"/>
      <c r="DT108" s="235"/>
      <c r="DU108" s="235"/>
      <c r="DV108" s="235"/>
      <c r="DW108" s="235"/>
      <c r="DX108" s="235"/>
      <c r="DY108" s="235"/>
      <c r="DZ108" s="235"/>
      <c r="EA108" s="235"/>
      <c r="EB108" s="235"/>
      <c r="EC108" s="235"/>
      <c r="ED108" s="235"/>
      <c r="EE108" s="235"/>
      <c r="EF108" s="235"/>
      <c r="EG108" s="235"/>
      <c r="EH108" s="235"/>
      <c r="EI108" s="235"/>
      <c r="EJ108" s="235"/>
      <c r="EK108" s="235"/>
      <c r="EL108" s="235"/>
      <c r="EM108" s="235"/>
      <c r="EN108" s="235"/>
      <c r="EO108" s="235"/>
      <c r="EP108" s="235"/>
      <c r="EQ108" s="235"/>
      <c r="ER108" s="235"/>
      <c r="ES108" s="235"/>
      <c r="ET108" s="235"/>
      <c r="EU108" s="235"/>
      <c r="EV108" s="235"/>
      <c r="EW108" s="235"/>
      <c r="EX108" s="235"/>
      <c r="EY108" s="235"/>
      <c r="EZ108" s="235"/>
      <c r="FA108" s="235"/>
      <c r="FB108" s="235"/>
      <c r="FC108" s="235"/>
      <c r="FD108" s="235"/>
      <c r="FE108" s="235"/>
      <c r="FF108" s="235"/>
      <c r="FG108" s="235"/>
      <c r="FH108" s="235"/>
      <c r="FI108" s="235"/>
      <c r="FJ108" s="235"/>
      <c r="FK108" s="235"/>
      <c r="FL108" s="235"/>
      <c r="FM108" s="235"/>
      <c r="FN108" s="235"/>
      <c r="FO108" s="235"/>
      <c r="FP108" s="235"/>
      <c r="FQ108" s="235"/>
      <c r="FR108" s="235"/>
      <c r="FS108" s="235"/>
      <c r="FT108" s="235"/>
      <c r="FU108" s="235"/>
      <c r="FV108" s="235"/>
      <c r="FW108" s="235"/>
      <c r="FX108" s="235"/>
      <c r="FY108" s="235"/>
      <c r="FZ108" s="235"/>
      <c r="GA108" s="235"/>
      <c r="GB108" s="235"/>
      <c r="GC108" s="235"/>
      <c r="GD108" s="235"/>
      <c r="GE108" s="235"/>
      <c r="GF108" s="235"/>
      <c r="GG108" s="235"/>
      <c r="GH108" s="235"/>
      <c r="GI108" s="235"/>
      <c r="GJ108" s="235"/>
      <c r="GK108" s="235"/>
      <c r="GL108" s="235"/>
      <c r="GM108" s="235"/>
      <c r="GN108" s="235"/>
      <c r="GO108" s="235"/>
      <c r="GP108" s="235"/>
      <c r="GQ108" s="235"/>
      <c r="GR108" s="235"/>
      <c r="GS108" s="235"/>
      <c r="GT108" s="235"/>
      <c r="GU108" s="235"/>
      <c r="GV108" s="235"/>
      <c r="GW108" s="235"/>
      <c r="GX108" s="235"/>
      <c r="GY108" s="235"/>
      <c r="GZ108" s="235"/>
      <c r="HA108" s="235"/>
      <c r="HB108" s="235"/>
      <c r="HC108" s="235"/>
      <c r="HD108" s="235"/>
      <c r="HE108" s="235"/>
      <c r="HF108" s="235"/>
      <c r="HG108" s="235"/>
      <c r="HH108" s="235"/>
      <c r="HI108" s="235"/>
      <c r="HJ108" s="235"/>
      <c r="HK108" s="235"/>
      <c r="HL108" s="235"/>
      <c r="HM108" s="235"/>
      <c r="HN108" s="235"/>
      <c r="HO108" s="235"/>
      <c r="HP108" s="235"/>
      <c r="HQ108" s="235"/>
      <c r="HR108" s="235"/>
      <c r="HS108" s="235"/>
      <c r="HT108" s="235"/>
      <c r="HU108" s="235"/>
      <c r="HV108" s="235"/>
      <c r="HW108" s="235"/>
      <c r="HX108" s="235"/>
      <c r="HY108" s="235"/>
      <c r="HZ108" s="235"/>
      <c r="IA108" s="235"/>
      <c r="IB108" s="235"/>
      <c r="IC108" s="235"/>
      <c r="ID108" s="235"/>
      <c r="IE108" s="235"/>
      <c r="IF108" s="235"/>
      <c r="IG108" s="235"/>
      <c r="IH108" s="235"/>
      <c r="II108" s="235"/>
      <c r="IJ108" s="235"/>
      <c r="IK108" s="235"/>
      <c r="IL108" s="235"/>
      <c r="IM108" s="235"/>
      <c r="IN108" s="235"/>
    </row>
    <row r="109" spans="1:248" ht="15">
      <c r="A109" s="246"/>
      <c r="B109" s="120" t="s">
        <v>550</v>
      </c>
      <c r="C109" s="336"/>
      <c r="D109" s="336"/>
      <c r="E109" s="336">
        <f>2589.37-E98</f>
        <v>43.592017399999804</v>
      </c>
      <c r="F109" s="336"/>
      <c r="G109" s="254"/>
      <c r="H109" s="259"/>
      <c r="I109" s="361"/>
      <c r="J109" s="361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  <c r="BV109" s="235"/>
      <c r="BW109" s="235"/>
      <c r="BX109" s="235"/>
      <c r="BY109" s="235"/>
      <c r="BZ109" s="235"/>
      <c r="CA109" s="235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5"/>
      <c r="DE109" s="235"/>
      <c r="DF109" s="235"/>
      <c r="DG109" s="235"/>
      <c r="DH109" s="235"/>
      <c r="DI109" s="235"/>
      <c r="DJ109" s="235"/>
      <c r="DK109" s="235"/>
      <c r="DL109" s="235"/>
      <c r="DM109" s="235"/>
      <c r="DN109" s="235"/>
      <c r="DO109" s="235"/>
      <c r="DP109" s="235"/>
      <c r="DQ109" s="235"/>
      <c r="DR109" s="235"/>
      <c r="DS109" s="235"/>
      <c r="DT109" s="235"/>
      <c r="DU109" s="235"/>
      <c r="DV109" s="235"/>
      <c r="DW109" s="235"/>
      <c r="DX109" s="235"/>
      <c r="DY109" s="235"/>
      <c r="DZ109" s="235"/>
      <c r="EA109" s="235"/>
      <c r="EB109" s="235"/>
      <c r="EC109" s="235"/>
      <c r="ED109" s="235"/>
      <c r="EE109" s="235"/>
      <c r="EF109" s="235"/>
      <c r="EG109" s="235"/>
      <c r="EH109" s="235"/>
      <c r="EI109" s="235"/>
      <c r="EJ109" s="235"/>
      <c r="EK109" s="235"/>
      <c r="EL109" s="235"/>
      <c r="EM109" s="235"/>
      <c r="EN109" s="235"/>
      <c r="EO109" s="235"/>
      <c r="EP109" s="235"/>
      <c r="EQ109" s="235"/>
      <c r="ER109" s="235"/>
      <c r="ES109" s="235"/>
      <c r="ET109" s="235"/>
      <c r="EU109" s="235"/>
      <c r="EV109" s="235"/>
      <c r="EW109" s="235"/>
      <c r="EX109" s="235"/>
      <c r="EY109" s="235"/>
      <c r="EZ109" s="235"/>
      <c r="FA109" s="235"/>
      <c r="FB109" s="235"/>
      <c r="FC109" s="235"/>
      <c r="FD109" s="235"/>
      <c r="FE109" s="235"/>
      <c r="FF109" s="235"/>
      <c r="FG109" s="235"/>
      <c r="FH109" s="235"/>
      <c r="FI109" s="235"/>
      <c r="FJ109" s="235"/>
      <c r="FK109" s="235"/>
      <c r="FL109" s="235"/>
      <c r="FM109" s="235"/>
      <c r="FN109" s="235"/>
      <c r="FO109" s="235"/>
      <c r="FP109" s="235"/>
      <c r="FQ109" s="235"/>
      <c r="FR109" s="235"/>
      <c r="FS109" s="235"/>
      <c r="FT109" s="235"/>
      <c r="FU109" s="235"/>
      <c r="FV109" s="235"/>
      <c r="FW109" s="235"/>
      <c r="FX109" s="235"/>
      <c r="FY109" s="235"/>
      <c r="FZ109" s="235"/>
      <c r="GA109" s="235"/>
      <c r="GB109" s="235"/>
      <c r="GC109" s="235"/>
      <c r="GD109" s="235"/>
      <c r="GE109" s="235"/>
      <c r="GF109" s="235"/>
      <c r="GG109" s="235"/>
      <c r="GH109" s="235"/>
      <c r="GI109" s="235"/>
      <c r="GJ109" s="235"/>
      <c r="GK109" s="235"/>
      <c r="GL109" s="235"/>
      <c r="GM109" s="235"/>
      <c r="GN109" s="235"/>
      <c r="GO109" s="235"/>
      <c r="GP109" s="235"/>
      <c r="GQ109" s="235"/>
      <c r="GR109" s="235"/>
      <c r="GS109" s="235"/>
      <c r="GT109" s="235"/>
      <c r="GU109" s="235"/>
      <c r="GV109" s="235"/>
      <c r="GW109" s="235"/>
      <c r="GX109" s="235"/>
      <c r="GY109" s="235"/>
      <c r="GZ109" s="235"/>
      <c r="HA109" s="235"/>
      <c r="HB109" s="235"/>
      <c r="HC109" s="235"/>
      <c r="HD109" s="235"/>
      <c r="HE109" s="235"/>
      <c r="HF109" s="235"/>
      <c r="HG109" s="235"/>
      <c r="HH109" s="235"/>
      <c r="HI109" s="235"/>
      <c r="HJ109" s="235"/>
      <c r="HK109" s="235"/>
      <c r="HL109" s="235"/>
      <c r="HM109" s="235"/>
      <c r="HN109" s="235"/>
      <c r="HO109" s="235"/>
      <c r="HP109" s="235"/>
      <c r="HQ109" s="235"/>
      <c r="HR109" s="235"/>
      <c r="HS109" s="235"/>
      <c r="HT109" s="235"/>
      <c r="HU109" s="235"/>
      <c r="HV109" s="235"/>
      <c r="HW109" s="235"/>
      <c r="HX109" s="235"/>
      <c r="HY109" s="235"/>
      <c r="HZ109" s="235"/>
      <c r="IA109" s="235"/>
      <c r="IB109" s="235"/>
      <c r="IC109" s="235"/>
      <c r="ID109" s="235"/>
      <c r="IE109" s="235"/>
      <c r="IF109" s="235"/>
      <c r="IG109" s="235"/>
      <c r="IH109" s="235"/>
      <c r="II109" s="235"/>
      <c r="IJ109" s="235"/>
      <c r="IK109" s="235"/>
      <c r="IL109" s="235"/>
      <c r="IM109" s="235"/>
      <c r="IN109" s="235"/>
    </row>
    <row r="110" spans="1:248" ht="15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  <c r="BB110" s="247"/>
      <c r="BC110" s="247"/>
      <c r="BD110" s="247"/>
      <c r="BE110" s="247"/>
      <c r="BF110" s="247"/>
      <c r="BG110" s="247"/>
      <c r="BH110" s="247"/>
      <c r="BI110" s="247"/>
      <c r="BJ110" s="247"/>
      <c r="BK110" s="247"/>
      <c r="BL110" s="247"/>
      <c r="BM110" s="247"/>
      <c r="BN110" s="247"/>
      <c r="BO110" s="247"/>
      <c r="BP110" s="247"/>
      <c r="BQ110" s="247"/>
      <c r="BR110" s="247"/>
      <c r="BS110" s="247"/>
      <c r="BT110" s="247"/>
      <c r="BU110" s="247"/>
      <c r="BV110" s="247"/>
      <c r="BW110" s="247"/>
      <c r="BX110" s="247"/>
      <c r="BY110" s="247"/>
      <c r="BZ110" s="247"/>
      <c r="CA110" s="247"/>
      <c r="CB110" s="247"/>
      <c r="CC110" s="247"/>
      <c r="CD110" s="247"/>
      <c r="CE110" s="247"/>
      <c r="CF110" s="247"/>
      <c r="CG110" s="247"/>
      <c r="CH110" s="247"/>
      <c r="CI110" s="247"/>
      <c r="CJ110" s="247"/>
      <c r="CK110" s="247"/>
      <c r="CL110" s="247"/>
      <c r="CM110" s="247"/>
      <c r="CN110" s="247"/>
      <c r="CO110" s="247"/>
      <c r="CP110" s="247"/>
      <c r="CQ110" s="247"/>
      <c r="CR110" s="247"/>
      <c r="CS110" s="247"/>
      <c r="CT110" s="247"/>
      <c r="CU110" s="247"/>
      <c r="CV110" s="247"/>
      <c r="CW110" s="247"/>
      <c r="CX110" s="247"/>
      <c r="CY110" s="247"/>
      <c r="CZ110" s="247"/>
      <c r="DA110" s="247"/>
      <c r="DB110" s="247"/>
      <c r="DC110" s="247"/>
      <c r="DD110" s="247"/>
      <c r="DE110" s="247"/>
      <c r="DF110" s="247"/>
      <c r="DG110" s="247"/>
      <c r="DH110" s="247"/>
      <c r="DI110" s="247"/>
      <c r="DJ110" s="247"/>
      <c r="DK110" s="247"/>
      <c r="DL110" s="247"/>
      <c r="DM110" s="247"/>
      <c r="DN110" s="247"/>
      <c r="DO110" s="247"/>
      <c r="DP110" s="247"/>
      <c r="DQ110" s="247"/>
      <c r="DR110" s="247"/>
      <c r="DS110" s="247"/>
      <c r="DT110" s="247"/>
      <c r="DU110" s="247"/>
      <c r="DV110" s="247"/>
      <c r="DW110" s="247"/>
      <c r="DX110" s="247"/>
      <c r="DY110" s="247"/>
      <c r="DZ110" s="247"/>
      <c r="EA110" s="247"/>
      <c r="EB110" s="247"/>
      <c r="EC110" s="247"/>
      <c r="ED110" s="247"/>
      <c r="EE110" s="247"/>
      <c r="EF110" s="247"/>
      <c r="EG110" s="247"/>
      <c r="EH110" s="247"/>
      <c r="EI110" s="247"/>
      <c r="EJ110" s="247"/>
      <c r="EK110" s="247"/>
      <c r="EL110" s="247"/>
      <c r="EM110" s="247"/>
      <c r="EN110" s="247"/>
      <c r="EO110" s="247"/>
      <c r="EP110" s="247"/>
      <c r="EQ110" s="247"/>
      <c r="ER110" s="247"/>
      <c r="ES110" s="247"/>
      <c r="ET110" s="247"/>
      <c r="EU110" s="247"/>
      <c r="EV110" s="247"/>
      <c r="EW110" s="247"/>
      <c r="EX110" s="247"/>
      <c r="EY110" s="247"/>
      <c r="EZ110" s="247"/>
      <c r="FA110" s="247"/>
      <c r="FB110" s="247"/>
      <c r="FC110" s="247"/>
      <c r="FD110" s="247"/>
      <c r="FE110" s="247"/>
      <c r="FF110" s="247"/>
      <c r="FG110" s="247"/>
      <c r="FH110" s="247"/>
      <c r="FI110" s="247"/>
      <c r="FJ110" s="247"/>
      <c r="FK110" s="247"/>
      <c r="FL110" s="247"/>
      <c r="FM110" s="247"/>
      <c r="FN110" s="247"/>
      <c r="FO110" s="247"/>
      <c r="FP110" s="247"/>
      <c r="FQ110" s="247"/>
      <c r="FR110" s="247"/>
      <c r="FS110" s="247"/>
      <c r="FT110" s="247"/>
      <c r="FU110" s="247"/>
      <c r="FV110" s="247"/>
      <c r="FW110" s="247"/>
      <c r="FX110" s="247"/>
      <c r="FY110" s="247"/>
      <c r="FZ110" s="247"/>
      <c r="GA110" s="247"/>
      <c r="GB110" s="247"/>
      <c r="GC110" s="247"/>
      <c r="GD110" s="247"/>
      <c r="GE110" s="247"/>
      <c r="GF110" s="247"/>
      <c r="GG110" s="247"/>
      <c r="GH110" s="247"/>
      <c r="GI110" s="247"/>
      <c r="GJ110" s="247"/>
      <c r="GK110" s="247"/>
      <c r="GL110" s="247"/>
      <c r="GM110" s="247"/>
      <c r="GN110" s="247"/>
      <c r="GO110" s="247"/>
      <c r="GP110" s="247"/>
      <c r="GQ110" s="247"/>
      <c r="GR110" s="247"/>
      <c r="GS110" s="247"/>
      <c r="GT110" s="247"/>
      <c r="GU110" s="247"/>
      <c r="GV110" s="247"/>
      <c r="GW110" s="247"/>
      <c r="GX110" s="247"/>
      <c r="GY110" s="247"/>
      <c r="GZ110" s="247"/>
      <c r="HA110" s="247"/>
      <c r="HB110" s="247"/>
      <c r="HC110" s="247"/>
      <c r="HD110" s="247"/>
      <c r="HE110" s="247"/>
      <c r="HF110" s="247"/>
      <c r="HG110" s="247"/>
      <c r="HH110" s="247"/>
      <c r="HI110" s="247"/>
      <c r="HJ110" s="247"/>
      <c r="HK110" s="247"/>
      <c r="HL110" s="247"/>
      <c r="HM110" s="247"/>
      <c r="HN110" s="247"/>
      <c r="HO110" s="247"/>
      <c r="HP110" s="247"/>
      <c r="HQ110" s="247"/>
      <c r="HR110" s="247"/>
      <c r="HS110" s="247"/>
      <c r="HT110" s="247"/>
      <c r="HU110" s="247"/>
      <c r="HV110" s="247"/>
      <c r="HW110" s="247"/>
      <c r="HX110" s="247"/>
      <c r="HY110" s="247"/>
      <c r="HZ110" s="247"/>
      <c r="IA110" s="247"/>
      <c r="IB110" s="247"/>
      <c r="IC110" s="247"/>
      <c r="ID110" s="247"/>
      <c r="IE110" s="247"/>
      <c r="IF110" s="247"/>
      <c r="IG110" s="247"/>
      <c r="IH110" s="247"/>
      <c r="II110" s="247"/>
      <c r="IJ110" s="247"/>
      <c r="IK110" s="247"/>
      <c r="IL110" s="247"/>
      <c r="IM110" s="247"/>
      <c r="IN110" s="247"/>
    </row>
    <row r="111" spans="2:20" s="403" customFormat="1" ht="27" customHeight="1">
      <c r="B111" s="401" t="s">
        <v>647</v>
      </c>
      <c r="C111" s="401"/>
      <c r="D111" s="401"/>
      <c r="E111" s="401"/>
      <c r="F111" s="401"/>
      <c r="G111" s="401"/>
      <c r="H111" s="401"/>
      <c r="I111" s="402" t="s">
        <v>648</v>
      </c>
      <c r="J111" s="401"/>
      <c r="K111" s="401"/>
      <c r="L111" s="401"/>
      <c r="M111" s="401"/>
      <c r="N111" s="401"/>
      <c r="O111" s="401"/>
      <c r="P111" s="401"/>
      <c r="Q111" s="402"/>
      <c r="R111" s="401"/>
      <c r="S111" s="401"/>
      <c r="T111" s="401"/>
    </row>
    <row r="112" spans="1:248" ht="15">
      <c r="A112" s="247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247"/>
      <c r="AR112" s="247"/>
      <c r="AS112" s="247"/>
      <c r="AT112" s="247"/>
      <c r="AU112" s="247"/>
      <c r="AV112" s="247"/>
      <c r="AW112" s="247"/>
      <c r="AX112" s="247"/>
      <c r="AY112" s="247"/>
      <c r="AZ112" s="247"/>
      <c r="BA112" s="247"/>
      <c r="BB112" s="247"/>
      <c r="BC112" s="247"/>
      <c r="BD112" s="247"/>
      <c r="BE112" s="247"/>
      <c r="BF112" s="247"/>
      <c r="BG112" s="247"/>
      <c r="BH112" s="247"/>
      <c r="BI112" s="247"/>
      <c r="BJ112" s="247"/>
      <c r="BK112" s="247"/>
      <c r="BL112" s="247"/>
      <c r="BM112" s="247"/>
      <c r="BN112" s="247"/>
      <c r="BO112" s="247"/>
      <c r="BP112" s="247"/>
      <c r="BQ112" s="247"/>
      <c r="BR112" s="247"/>
      <c r="BS112" s="247"/>
      <c r="BT112" s="247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7"/>
      <c r="CL112" s="247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7"/>
      <c r="DE112" s="247"/>
      <c r="DF112" s="247"/>
      <c r="DG112" s="247"/>
      <c r="DH112" s="247"/>
      <c r="DI112" s="247"/>
      <c r="DJ112" s="247"/>
      <c r="DK112" s="247"/>
      <c r="DL112" s="247"/>
      <c r="DM112" s="247"/>
      <c r="DN112" s="247"/>
      <c r="DO112" s="247"/>
      <c r="DP112" s="247"/>
      <c r="DQ112" s="247"/>
      <c r="DR112" s="247"/>
      <c r="DS112" s="247"/>
      <c r="DT112" s="247"/>
      <c r="DU112" s="247"/>
      <c r="DV112" s="247"/>
      <c r="DW112" s="247"/>
      <c r="DX112" s="247"/>
      <c r="DY112" s="247"/>
      <c r="DZ112" s="247"/>
      <c r="EA112" s="247"/>
      <c r="EB112" s="247"/>
      <c r="EC112" s="247"/>
      <c r="ED112" s="247"/>
      <c r="EE112" s="247"/>
      <c r="EF112" s="247"/>
      <c r="EG112" s="247"/>
      <c r="EH112" s="247"/>
      <c r="EI112" s="247"/>
      <c r="EJ112" s="247"/>
      <c r="EK112" s="247"/>
      <c r="EL112" s="247"/>
      <c r="EM112" s="247"/>
      <c r="EN112" s="247"/>
      <c r="EO112" s="247"/>
      <c r="EP112" s="247"/>
      <c r="EQ112" s="247"/>
      <c r="ER112" s="247"/>
      <c r="ES112" s="247"/>
      <c r="ET112" s="247"/>
      <c r="EU112" s="247"/>
      <c r="EV112" s="247"/>
      <c r="EW112" s="247"/>
      <c r="EX112" s="247"/>
      <c r="EY112" s="247"/>
      <c r="EZ112" s="247"/>
      <c r="FA112" s="247"/>
      <c r="FB112" s="247"/>
      <c r="FC112" s="247"/>
      <c r="FD112" s="247"/>
      <c r="FE112" s="247"/>
      <c r="FF112" s="247"/>
      <c r="FG112" s="247"/>
      <c r="FH112" s="247"/>
      <c r="FI112" s="247"/>
      <c r="FJ112" s="247"/>
      <c r="FK112" s="247"/>
      <c r="FL112" s="247"/>
      <c r="FM112" s="247"/>
      <c r="FN112" s="247"/>
      <c r="FO112" s="247"/>
      <c r="FP112" s="247"/>
      <c r="FQ112" s="247"/>
      <c r="FR112" s="247"/>
      <c r="FS112" s="247"/>
      <c r="FT112" s="247"/>
      <c r="FU112" s="247"/>
      <c r="FV112" s="247"/>
      <c r="FW112" s="247"/>
      <c r="FX112" s="247"/>
      <c r="FY112" s="247"/>
      <c r="FZ112" s="247"/>
      <c r="GA112" s="247"/>
      <c r="GB112" s="247"/>
      <c r="GC112" s="247"/>
      <c r="GD112" s="247"/>
      <c r="GE112" s="247"/>
      <c r="GF112" s="247"/>
      <c r="GG112" s="247"/>
      <c r="GH112" s="247"/>
      <c r="GI112" s="247"/>
      <c r="GJ112" s="247"/>
      <c r="GK112" s="247"/>
      <c r="GL112" s="247"/>
      <c r="GM112" s="247"/>
      <c r="GN112" s="247"/>
      <c r="GO112" s="247"/>
      <c r="GP112" s="247"/>
      <c r="GQ112" s="247"/>
      <c r="GR112" s="247"/>
      <c r="GS112" s="247"/>
      <c r="GT112" s="247"/>
      <c r="GU112" s="247"/>
      <c r="GV112" s="247"/>
      <c r="GW112" s="247"/>
      <c r="GX112" s="247"/>
      <c r="GY112" s="247"/>
      <c r="GZ112" s="247"/>
      <c r="HA112" s="247"/>
      <c r="HB112" s="247"/>
      <c r="HC112" s="247"/>
      <c r="HD112" s="247"/>
      <c r="HE112" s="247"/>
      <c r="HF112" s="247"/>
      <c r="HG112" s="247"/>
      <c r="HH112" s="247"/>
      <c r="HI112" s="247"/>
      <c r="HJ112" s="247"/>
      <c r="HK112" s="247"/>
      <c r="HL112" s="247"/>
      <c r="HM112" s="247"/>
      <c r="HN112" s="247"/>
      <c r="HO112" s="247"/>
      <c r="HP112" s="247"/>
      <c r="HQ112" s="247"/>
      <c r="HR112" s="247"/>
      <c r="HS112" s="247"/>
      <c r="HT112" s="247"/>
      <c r="HU112" s="247"/>
      <c r="HV112" s="247"/>
      <c r="HW112" s="247"/>
      <c r="HX112" s="247"/>
      <c r="HY112" s="247"/>
      <c r="HZ112" s="247"/>
      <c r="IA112" s="247"/>
      <c r="IB112" s="247"/>
      <c r="IC112" s="247"/>
      <c r="ID112" s="247"/>
      <c r="IE112" s="247"/>
      <c r="IF112" s="247"/>
      <c r="IG112" s="247"/>
      <c r="IH112" s="247"/>
      <c r="II112" s="247"/>
      <c r="IJ112" s="247"/>
      <c r="IK112" s="247"/>
      <c r="IL112" s="247"/>
      <c r="IM112" s="247"/>
      <c r="IN112" s="247"/>
    </row>
    <row r="113" spans="1:248" ht="15">
      <c r="A113" s="2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7"/>
      <c r="BB113" s="247"/>
      <c r="BC113" s="247"/>
      <c r="BD113" s="247"/>
      <c r="BE113" s="247"/>
      <c r="BF113" s="247"/>
      <c r="BG113" s="247"/>
      <c r="BH113" s="247"/>
      <c r="BI113" s="247"/>
      <c r="BJ113" s="247"/>
      <c r="BK113" s="247"/>
      <c r="BL113" s="247"/>
      <c r="BM113" s="247"/>
      <c r="BN113" s="247"/>
      <c r="BO113" s="247"/>
      <c r="BP113" s="247"/>
      <c r="BQ113" s="247"/>
      <c r="BR113" s="247"/>
      <c r="BS113" s="247"/>
      <c r="BT113" s="247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7"/>
      <c r="CL113" s="247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7"/>
      <c r="DE113" s="247"/>
      <c r="DF113" s="247"/>
      <c r="DG113" s="247"/>
      <c r="DH113" s="247"/>
      <c r="DI113" s="247"/>
      <c r="DJ113" s="247"/>
      <c r="DK113" s="247"/>
      <c r="DL113" s="247"/>
      <c r="DM113" s="247"/>
      <c r="DN113" s="247"/>
      <c r="DO113" s="247"/>
      <c r="DP113" s="247"/>
      <c r="DQ113" s="247"/>
      <c r="DR113" s="247"/>
      <c r="DS113" s="247"/>
      <c r="DT113" s="247"/>
      <c r="DU113" s="247"/>
      <c r="DV113" s="247"/>
      <c r="DW113" s="247"/>
      <c r="DX113" s="247"/>
      <c r="DY113" s="247"/>
      <c r="DZ113" s="247"/>
      <c r="EA113" s="247"/>
      <c r="EB113" s="247"/>
      <c r="EC113" s="247"/>
      <c r="ED113" s="247"/>
      <c r="EE113" s="247"/>
      <c r="EF113" s="247"/>
      <c r="EG113" s="247"/>
      <c r="EH113" s="247"/>
      <c r="EI113" s="247"/>
      <c r="EJ113" s="247"/>
      <c r="EK113" s="247"/>
      <c r="EL113" s="247"/>
      <c r="EM113" s="247"/>
      <c r="EN113" s="247"/>
      <c r="EO113" s="247"/>
      <c r="EP113" s="247"/>
      <c r="EQ113" s="247"/>
      <c r="ER113" s="247"/>
      <c r="ES113" s="247"/>
      <c r="ET113" s="247"/>
      <c r="EU113" s="247"/>
      <c r="EV113" s="247"/>
      <c r="EW113" s="247"/>
      <c r="EX113" s="247"/>
      <c r="EY113" s="247"/>
      <c r="EZ113" s="247"/>
      <c r="FA113" s="247"/>
      <c r="FB113" s="247"/>
      <c r="FC113" s="247"/>
      <c r="FD113" s="247"/>
      <c r="FE113" s="247"/>
      <c r="FF113" s="247"/>
      <c r="FG113" s="247"/>
      <c r="FH113" s="247"/>
      <c r="FI113" s="247"/>
      <c r="FJ113" s="247"/>
      <c r="FK113" s="247"/>
      <c r="FL113" s="247"/>
      <c r="FM113" s="247"/>
      <c r="FN113" s="247"/>
      <c r="FO113" s="247"/>
      <c r="FP113" s="247"/>
      <c r="FQ113" s="247"/>
      <c r="FR113" s="247"/>
      <c r="FS113" s="247"/>
      <c r="FT113" s="247"/>
      <c r="FU113" s="247"/>
      <c r="FV113" s="247"/>
      <c r="FW113" s="247"/>
      <c r="FX113" s="247"/>
      <c r="FY113" s="247"/>
      <c r="FZ113" s="247"/>
      <c r="GA113" s="247"/>
      <c r="GB113" s="247"/>
      <c r="GC113" s="247"/>
      <c r="GD113" s="247"/>
      <c r="GE113" s="247"/>
      <c r="GF113" s="247"/>
      <c r="GG113" s="247"/>
      <c r="GH113" s="247"/>
      <c r="GI113" s="247"/>
      <c r="GJ113" s="247"/>
      <c r="GK113" s="247"/>
      <c r="GL113" s="247"/>
      <c r="GM113" s="247"/>
      <c r="GN113" s="247"/>
      <c r="GO113" s="247"/>
      <c r="GP113" s="247"/>
      <c r="GQ113" s="247"/>
      <c r="GR113" s="247"/>
      <c r="GS113" s="247"/>
      <c r="GT113" s="247"/>
      <c r="GU113" s="247"/>
      <c r="GV113" s="247"/>
      <c r="GW113" s="247"/>
      <c r="GX113" s="247"/>
      <c r="GY113" s="247"/>
      <c r="GZ113" s="247"/>
      <c r="HA113" s="247"/>
      <c r="HB113" s="247"/>
      <c r="HC113" s="247"/>
      <c r="HD113" s="247"/>
      <c r="HE113" s="247"/>
      <c r="HF113" s="247"/>
      <c r="HG113" s="247"/>
      <c r="HH113" s="247"/>
      <c r="HI113" s="247"/>
      <c r="HJ113" s="247"/>
      <c r="HK113" s="247"/>
      <c r="HL113" s="247"/>
      <c r="HM113" s="247"/>
      <c r="HN113" s="247"/>
      <c r="HO113" s="247"/>
      <c r="HP113" s="247"/>
      <c r="HQ113" s="247"/>
      <c r="HR113" s="247"/>
      <c r="HS113" s="247"/>
      <c r="HT113" s="247"/>
      <c r="HU113" s="247"/>
      <c r="HV113" s="247"/>
      <c r="HW113" s="247"/>
      <c r="HX113" s="247"/>
      <c r="HY113" s="247"/>
      <c r="HZ113" s="247"/>
      <c r="IA113" s="247"/>
      <c r="IB113" s="247"/>
      <c r="IC113" s="247"/>
      <c r="ID113" s="247"/>
      <c r="IE113" s="247"/>
      <c r="IF113" s="247"/>
      <c r="IG113" s="247"/>
      <c r="IH113" s="247"/>
      <c r="II113" s="247"/>
      <c r="IJ113" s="247"/>
      <c r="IK113" s="247"/>
      <c r="IL113" s="247"/>
      <c r="IM113" s="247"/>
      <c r="IN113" s="247"/>
    </row>
    <row r="114" spans="1:248" s="394" customFormat="1" ht="15">
      <c r="A114" s="393"/>
      <c r="B114" s="409" t="s">
        <v>644</v>
      </c>
      <c r="C114" s="393"/>
      <c r="D114" s="393"/>
      <c r="E114" s="393"/>
      <c r="F114" s="393"/>
      <c r="G114" s="393"/>
      <c r="I114" s="393" t="s">
        <v>645</v>
      </c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93"/>
      <c r="AN114" s="393"/>
      <c r="AO114" s="393"/>
      <c r="AP114" s="393"/>
      <c r="AQ114" s="393"/>
      <c r="AR114" s="393"/>
      <c r="AS114" s="393"/>
      <c r="AT114" s="393"/>
      <c r="AU114" s="393"/>
      <c r="AV114" s="393"/>
      <c r="AW114" s="393"/>
      <c r="AX114" s="393"/>
      <c r="AY114" s="393"/>
      <c r="AZ114" s="393"/>
      <c r="BA114" s="393"/>
      <c r="BB114" s="393"/>
      <c r="BC114" s="393"/>
      <c r="BD114" s="393"/>
      <c r="BE114" s="393"/>
      <c r="BF114" s="393"/>
      <c r="BG114" s="393"/>
      <c r="BH114" s="393"/>
      <c r="BI114" s="393"/>
      <c r="BJ114" s="393"/>
      <c r="BK114" s="393"/>
      <c r="BL114" s="393"/>
      <c r="BM114" s="393"/>
      <c r="BN114" s="393"/>
      <c r="BO114" s="393"/>
      <c r="BP114" s="393"/>
      <c r="BQ114" s="393"/>
      <c r="BR114" s="393"/>
      <c r="BS114" s="393"/>
      <c r="BT114" s="393"/>
      <c r="BU114" s="393"/>
      <c r="BV114" s="393"/>
      <c r="BW114" s="393"/>
      <c r="BX114" s="393"/>
      <c r="BY114" s="393"/>
      <c r="BZ114" s="393"/>
      <c r="CA114" s="393"/>
      <c r="CB114" s="393"/>
      <c r="CC114" s="393"/>
      <c r="CD114" s="393"/>
      <c r="CE114" s="393"/>
      <c r="CF114" s="393"/>
      <c r="CG114" s="393"/>
      <c r="CH114" s="393"/>
      <c r="CI114" s="393"/>
      <c r="CJ114" s="393"/>
      <c r="CK114" s="393"/>
      <c r="CL114" s="393"/>
      <c r="CM114" s="393"/>
      <c r="CN114" s="393"/>
      <c r="CO114" s="393"/>
      <c r="CP114" s="393"/>
      <c r="CQ114" s="393"/>
      <c r="CR114" s="393"/>
      <c r="CS114" s="393"/>
      <c r="CT114" s="393"/>
      <c r="CU114" s="393"/>
      <c r="CV114" s="393"/>
      <c r="CW114" s="393"/>
      <c r="CX114" s="393"/>
      <c r="CY114" s="393"/>
      <c r="CZ114" s="393"/>
      <c r="DA114" s="393"/>
      <c r="DB114" s="393"/>
      <c r="DC114" s="393"/>
      <c r="DD114" s="393"/>
      <c r="DE114" s="393"/>
      <c r="DF114" s="393"/>
      <c r="DG114" s="393"/>
      <c r="DH114" s="393"/>
      <c r="DI114" s="393"/>
      <c r="DJ114" s="393"/>
      <c r="DK114" s="393"/>
      <c r="DL114" s="393"/>
      <c r="DM114" s="393"/>
      <c r="DN114" s="393"/>
      <c r="DO114" s="393"/>
      <c r="DP114" s="393"/>
      <c r="DQ114" s="393"/>
      <c r="DR114" s="393"/>
      <c r="DS114" s="393"/>
      <c r="DT114" s="393"/>
      <c r="DU114" s="393"/>
      <c r="DV114" s="393"/>
      <c r="DW114" s="393"/>
      <c r="DX114" s="393"/>
      <c r="DY114" s="393"/>
      <c r="DZ114" s="393"/>
      <c r="EA114" s="393"/>
      <c r="EB114" s="393"/>
      <c r="EC114" s="393"/>
      <c r="ED114" s="393"/>
      <c r="EE114" s="393"/>
      <c r="EF114" s="393"/>
      <c r="EG114" s="393"/>
      <c r="EH114" s="393"/>
      <c r="EI114" s="393"/>
      <c r="EJ114" s="393"/>
      <c r="EK114" s="393"/>
      <c r="EL114" s="393"/>
      <c r="EM114" s="393"/>
      <c r="EN114" s="393"/>
      <c r="EO114" s="393"/>
      <c r="EP114" s="393"/>
      <c r="EQ114" s="393"/>
      <c r="ER114" s="393"/>
      <c r="ES114" s="393"/>
      <c r="ET114" s="393"/>
      <c r="EU114" s="393"/>
      <c r="EV114" s="393"/>
      <c r="EW114" s="393"/>
      <c r="EX114" s="393"/>
      <c r="EY114" s="393"/>
      <c r="EZ114" s="393"/>
      <c r="FA114" s="393"/>
      <c r="FB114" s="393"/>
      <c r="FC114" s="393"/>
      <c r="FD114" s="393"/>
      <c r="FE114" s="393"/>
      <c r="FF114" s="393"/>
      <c r="FG114" s="393"/>
      <c r="FH114" s="393"/>
      <c r="FI114" s="393"/>
      <c r="FJ114" s="393"/>
      <c r="FK114" s="393"/>
      <c r="FL114" s="393"/>
      <c r="FM114" s="393"/>
      <c r="FN114" s="393"/>
      <c r="FO114" s="393"/>
      <c r="FP114" s="393"/>
      <c r="FQ114" s="393"/>
      <c r="FR114" s="393"/>
      <c r="FS114" s="393"/>
      <c r="FT114" s="393"/>
      <c r="FU114" s="393"/>
      <c r="FV114" s="393"/>
      <c r="FW114" s="393"/>
      <c r="FX114" s="393"/>
      <c r="FY114" s="393"/>
      <c r="FZ114" s="393"/>
      <c r="GA114" s="393"/>
      <c r="GB114" s="393"/>
      <c r="GC114" s="393"/>
      <c r="GD114" s="393"/>
      <c r="GE114" s="393"/>
      <c r="GF114" s="393"/>
      <c r="GG114" s="393"/>
      <c r="GH114" s="393"/>
      <c r="GI114" s="393"/>
      <c r="GJ114" s="393"/>
      <c r="GK114" s="393"/>
      <c r="GL114" s="393"/>
      <c r="GM114" s="393"/>
      <c r="GN114" s="393"/>
      <c r="GO114" s="393"/>
      <c r="GP114" s="393"/>
      <c r="GQ114" s="393"/>
      <c r="GR114" s="393"/>
      <c r="GS114" s="393"/>
      <c r="GT114" s="393"/>
      <c r="GU114" s="393"/>
      <c r="GV114" s="393"/>
      <c r="GW114" s="393"/>
      <c r="GX114" s="393"/>
      <c r="GY114" s="393"/>
      <c r="GZ114" s="393"/>
      <c r="HA114" s="393"/>
      <c r="HB114" s="393"/>
      <c r="HC114" s="393"/>
      <c r="HD114" s="393"/>
      <c r="HE114" s="393"/>
      <c r="HF114" s="393"/>
      <c r="HG114" s="393"/>
      <c r="HH114" s="393"/>
      <c r="HI114" s="393"/>
      <c r="HJ114" s="393"/>
      <c r="HK114" s="393"/>
      <c r="HL114" s="393"/>
      <c r="HM114" s="393"/>
      <c r="HN114" s="393"/>
      <c r="HO114" s="393"/>
      <c r="HP114" s="393"/>
      <c r="HQ114" s="393"/>
      <c r="HR114" s="393"/>
      <c r="HS114" s="393"/>
      <c r="HT114" s="393"/>
      <c r="HU114" s="393"/>
      <c r="HV114" s="393"/>
      <c r="HW114" s="393"/>
      <c r="HX114" s="393"/>
      <c r="HY114" s="393"/>
      <c r="HZ114" s="393"/>
      <c r="IA114" s="393"/>
      <c r="IB114" s="393"/>
      <c r="IC114" s="393"/>
      <c r="ID114" s="393"/>
      <c r="IE114" s="393"/>
      <c r="IF114" s="393"/>
      <c r="IG114" s="393"/>
      <c r="IH114" s="393"/>
      <c r="II114" s="393"/>
      <c r="IJ114" s="393"/>
      <c r="IK114" s="393"/>
      <c r="IL114" s="393"/>
      <c r="IM114" s="393"/>
      <c r="IN114" s="393"/>
    </row>
    <row r="115" spans="1:248" ht="15">
      <c r="A115" s="2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  <c r="BB115" s="247"/>
      <c r="BC115" s="247"/>
      <c r="BD115" s="247"/>
      <c r="BE115" s="247"/>
      <c r="BF115" s="247"/>
      <c r="BG115" s="247"/>
      <c r="BH115" s="247"/>
      <c r="BI115" s="247"/>
      <c r="BJ115" s="247"/>
      <c r="BK115" s="247"/>
      <c r="BL115" s="247"/>
      <c r="BM115" s="247"/>
      <c r="BN115" s="247"/>
      <c r="BO115" s="247"/>
      <c r="BP115" s="247"/>
      <c r="BQ115" s="247"/>
      <c r="BR115" s="247"/>
      <c r="BS115" s="247"/>
      <c r="BT115" s="247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7"/>
      <c r="CL115" s="247"/>
      <c r="CM115" s="247"/>
      <c r="CN115" s="247"/>
      <c r="CO115" s="247"/>
      <c r="CP115" s="247"/>
      <c r="CQ115" s="247"/>
      <c r="CR115" s="247"/>
      <c r="CS115" s="247"/>
      <c r="CT115" s="247"/>
      <c r="CU115" s="247"/>
      <c r="CV115" s="247"/>
      <c r="CW115" s="247"/>
      <c r="CX115" s="247"/>
      <c r="CY115" s="247"/>
      <c r="CZ115" s="247"/>
      <c r="DA115" s="247"/>
      <c r="DB115" s="247"/>
      <c r="DC115" s="247"/>
      <c r="DD115" s="247"/>
      <c r="DE115" s="247"/>
      <c r="DF115" s="247"/>
      <c r="DG115" s="247"/>
      <c r="DH115" s="247"/>
      <c r="DI115" s="247"/>
      <c r="DJ115" s="247"/>
      <c r="DK115" s="247"/>
      <c r="DL115" s="247"/>
      <c r="DM115" s="247"/>
      <c r="DN115" s="247"/>
      <c r="DO115" s="247"/>
      <c r="DP115" s="247"/>
      <c r="DQ115" s="247"/>
      <c r="DR115" s="247"/>
      <c r="DS115" s="247"/>
      <c r="DT115" s="247"/>
      <c r="DU115" s="247"/>
      <c r="DV115" s="247"/>
      <c r="DW115" s="247"/>
      <c r="DX115" s="247"/>
      <c r="DY115" s="247"/>
      <c r="DZ115" s="247"/>
      <c r="EA115" s="247"/>
      <c r="EB115" s="247"/>
      <c r="EC115" s="247"/>
      <c r="ED115" s="247"/>
      <c r="EE115" s="247"/>
      <c r="EF115" s="247"/>
      <c r="EG115" s="247"/>
      <c r="EH115" s="247"/>
      <c r="EI115" s="247"/>
      <c r="EJ115" s="247"/>
      <c r="EK115" s="247"/>
      <c r="EL115" s="247"/>
      <c r="EM115" s="247"/>
      <c r="EN115" s="247"/>
      <c r="EO115" s="247"/>
      <c r="EP115" s="247"/>
      <c r="EQ115" s="247"/>
      <c r="ER115" s="247"/>
      <c r="ES115" s="247"/>
      <c r="ET115" s="247"/>
      <c r="EU115" s="247"/>
      <c r="EV115" s="247"/>
      <c r="EW115" s="247"/>
      <c r="EX115" s="247"/>
      <c r="EY115" s="247"/>
      <c r="EZ115" s="247"/>
      <c r="FA115" s="247"/>
      <c r="FB115" s="247"/>
      <c r="FC115" s="247"/>
      <c r="FD115" s="247"/>
      <c r="FE115" s="247"/>
      <c r="FF115" s="247"/>
      <c r="FG115" s="247"/>
      <c r="FH115" s="247"/>
      <c r="FI115" s="247"/>
      <c r="FJ115" s="247"/>
      <c r="FK115" s="247"/>
      <c r="FL115" s="247"/>
      <c r="FM115" s="247"/>
      <c r="FN115" s="247"/>
      <c r="FO115" s="247"/>
      <c r="FP115" s="247"/>
      <c r="FQ115" s="247"/>
      <c r="FR115" s="247"/>
      <c r="FS115" s="247"/>
      <c r="FT115" s="247"/>
      <c r="FU115" s="247"/>
      <c r="FV115" s="247"/>
      <c r="FW115" s="247"/>
      <c r="FX115" s="247"/>
      <c r="FY115" s="247"/>
      <c r="FZ115" s="247"/>
      <c r="GA115" s="247"/>
      <c r="GB115" s="247"/>
      <c r="GC115" s="247"/>
      <c r="GD115" s="247"/>
      <c r="GE115" s="247"/>
      <c r="GF115" s="247"/>
      <c r="GG115" s="247"/>
      <c r="GH115" s="247"/>
      <c r="GI115" s="247"/>
      <c r="GJ115" s="247"/>
      <c r="GK115" s="247"/>
      <c r="GL115" s="247"/>
      <c r="GM115" s="247"/>
      <c r="GN115" s="247"/>
      <c r="GO115" s="247"/>
      <c r="GP115" s="247"/>
      <c r="GQ115" s="247"/>
      <c r="GR115" s="247"/>
      <c r="GS115" s="247"/>
      <c r="GT115" s="247"/>
      <c r="GU115" s="247"/>
      <c r="GV115" s="247"/>
      <c r="GW115" s="247"/>
      <c r="GX115" s="247"/>
      <c r="GY115" s="247"/>
      <c r="GZ115" s="247"/>
      <c r="HA115" s="247"/>
      <c r="HB115" s="247"/>
      <c r="HC115" s="247"/>
      <c r="HD115" s="247"/>
      <c r="HE115" s="247"/>
      <c r="HF115" s="247"/>
      <c r="HG115" s="247"/>
      <c r="HH115" s="247"/>
      <c r="HI115" s="247"/>
      <c r="HJ115" s="247"/>
      <c r="HK115" s="247"/>
      <c r="HL115" s="247"/>
      <c r="HM115" s="247"/>
      <c r="HN115" s="247"/>
      <c r="HO115" s="247"/>
      <c r="HP115" s="247"/>
      <c r="HQ115" s="247"/>
      <c r="HR115" s="247"/>
      <c r="HS115" s="247"/>
      <c r="HT115" s="247"/>
      <c r="HU115" s="247"/>
      <c r="HV115" s="247"/>
      <c r="HW115" s="247"/>
      <c r="HX115" s="247"/>
      <c r="HY115" s="247"/>
      <c r="HZ115" s="247"/>
      <c r="IA115" s="247"/>
      <c r="IB115" s="247"/>
      <c r="IC115" s="247"/>
      <c r="ID115" s="247"/>
      <c r="IE115" s="247"/>
      <c r="IF115" s="247"/>
      <c r="IG115" s="247"/>
      <c r="IH115" s="247"/>
      <c r="II115" s="247"/>
      <c r="IJ115" s="247"/>
      <c r="IK115" s="247"/>
      <c r="IL115" s="247"/>
      <c r="IM115" s="247"/>
      <c r="IN115" s="247"/>
    </row>
    <row r="116" spans="1:248" ht="15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247"/>
      <c r="BC116" s="247"/>
      <c r="BD116" s="247"/>
      <c r="BE116" s="247"/>
      <c r="BF116" s="247"/>
      <c r="BG116" s="247"/>
      <c r="BH116" s="247"/>
      <c r="BI116" s="247"/>
      <c r="BJ116" s="247"/>
      <c r="BK116" s="247"/>
      <c r="BL116" s="247"/>
      <c r="BM116" s="247"/>
      <c r="BN116" s="247"/>
      <c r="BO116" s="247"/>
      <c r="BP116" s="247"/>
      <c r="BQ116" s="247"/>
      <c r="BR116" s="247"/>
      <c r="BS116" s="247"/>
      <c r="BT116" s="247"/>
      <c r="BU116" s="247"/>
      <c r="BV116" s="247"/>
      <c r="BW116" s="247"/>
      <c r="BX116" s="247"/>
      <c r="BY116" s="247"/>
      <c r="BZ116" s="247"/>
      <c r="CA116" s="247"/>
      <c r="CB116" s="247"/>
      <c r="CC116" s="247"/>
      <c r="CD116" s="247"/>
      <c r="CE116" s="247"/>
      <c r="CF116" s="247"/>
      <c r="CG116" s="247"/>
      <c r="CH116" s="247"/>
      <c r="CI116" s="247"/>
      <c r="CJ116" s="247"/>
      <c r="CK116" s="247"/>
      <c r="CL116" s="247"/>
      <c r="CM116" s="247"/>
      <c r="CN116" s="247"/>
      <c r="CO116" s="247"/>
      <c r="CP116" s="247"/>
      <c r="CQ116" s="247"/>
      <c r="CR116" s="247"/>
      <c r="CS116" s="247"/>
      <c r="CT116" s="247"/>
      <c r="CU116" s="247"/>
      <c r="CV116" s="247"/>
      <c r="CW116" s="247"/>
      <c r="CX116" s="247"/>
      <c r="CY116" s="247"/>
      <c r="CZ116" s="247"/>
      <c r="DA116" s="247"/>
      <c r="DB116" s="247"/>
      <c r="DC116" s="247"/>
      <c r="DD116" s="247"/>
      <c r="DE116" s="247"/>
      <c r="DF116" s="247"/>
      <c r="DG116" s="247"/>
      <c r="DH116" s="247"/>
      <c r="DI116" s="247"/>
      <c r="DJ116" s="247"/>
      <c r="DK116" s="247"/>
      <c r="DL116" s="247"/>
      <c r="DM116" s="247"/>
      <c r="DN116" s="247"/>
      <c r="DO116" s="247"/>
      <c r="DP116" s="247"/>
      <c r="DQ116" s="247"/>
      <c r="DR116" s="247"/>
      <c r="DS116" s="247"/>
      <c r="DT116" s="247"/>
      <c r="DU116" s="247"/>
      <c r="DV116" s="247"/>
      <c r="DW116" s="247"/>
      <c r="DX116" s="247"/>
      <c r="DY116" s="247"/>
      <c r="DZ116" s="247"/>
      <c r="EA116" s="247"/>
      <c r="EB116" s="247"/>
      <c r="EC116" s="247"/>
      <c r="ED116" s="247"/>
      <c r="EE116" s="247"/>
      <c r="EF116" s="247"/>
      <c r="EG116" s="247"/>
      <c r="EH116" s="247"/>
      <c r="EI116" s="247"/>
      <c r="EJ116" s="247"/>
      <c r="EK116" s="247"/>
      <c r="EL116" s="247"/>
      <c r="EM116" s="247"/>
      <c r="EN116" s="247"/>
      <c r="EO116" s="247"/>
      <c r="EP116" s="247"/>
      <c r="EQ116" s="247"/>
      <c r="ER116" s="247"/>
      <c r="ES116" s="247"/>
      <c r="ET116" s="247"/>
      <c r="EU116" s="247"/>
      <c r="EV116" s="247"/>
      <c r="EW116" s="247"/>
      <c r="EX116" s="247"/>
      <c r="EY116" s="247"/>
      <c r="EZ116" s="247"/>
      <c r="FA116" s="247"/>
      <c r="FB116" s="247"/>
      <c r="FC116" s="247"/>
      <c r="FD116" s="247"/>
      <c r="FE116" s="247"/>
      <c r="FF116" s="247"/>
      <c r="FG116" s="247"/>
      <c r="FH116" s="247"/>
      <c r="FI116" s="247"/>
      <c r="FJ116" s="247"/>
      <c r="FK116" s="247"/>
      <c r="FL116" s="247"/>
      <c r="FM116" s="247"/>
      <c r="FN116" s="247"/>
      <c r="FO116" s="247"/>
      <c r="FP116" s="247"/>
      <c r="FQ116" s="247"/>
      <c r="FR116" s="247"/>
      <c r="FS116" s="247"/>
      <c r="FT116" s="247"/>
      <c r="FU116" s="247"/>
      <c r="FV116" s="247"/>
      <c r="FW116" s="247"/>
      <c r="FX116" s="247"/>
      <c r="FY116" s="247"/>
      <c r="FZ116" s="247"/>
      <c r="GA116" s="247"/>
      <c r="GB116" s="247"/>
      <c r="GC116" s="247"/>
      <c r="GD116" s="247"/>
      <c r="GE116" s="247"/>
      <c r="GF116" s="247"/>
      <c r="GG116" s="247"/>
      <c r="GH116" s="247"/>
      <c r="GI116" s="247"/>
      <c r="GJ116" s="247"/>
      <c r="GK116" s="247"/>
      <c r="GL116" s="247"/>
      <c r="GM116" s="247"/>
      <c r="GN116" s="247"/>
      <c r="GO116" s="247"/>
      <c r="GP116" s="247"/>
      <c r="GQ116" s="247"/>
      <c r="GR116" s="247"/>
      <c r="GS116" s="247"/>
      <c r="GT116" s="247"/>
      <c r="GU116" s="247"/>
      <c r="GV116" s="247"/>
      <c r="GW116" s="247"/>
      <c r="GX116" s="247"/>
      <c r="GY116" s="247"/>
      <c r="GZ116" s="247"/>
      <c r="HA116" s="247"/>
      <c r="HB116" s="247"/>
      <c r="HC116" s="247"/>
      <c r="HD116" s="247"/>
      <c r="HE116" s="247"/>
      <c r="HF116" s="247"/>
      <c r="HG116" s="247"/>
      <c r="HH116" s="247"/>
      <c r="HI116" s="247"/>
      <c r="HJ116" s="247"/>
      <c r="HK116" s="247"/>
      <c r="HL116" s="247"/>
      <c r="HM116" s="247"/>
      <c r="HN116" s="247"/>
      <c r="HO116" s="247"/>
      <c r="HP116" s="247"/>
      <c r="HQ116" s="247"/>
      <c r="HR116" s="247"/>
      <c r="HS116" s="247"/>
      <c r="HT116" s="247"/>
      <c r="HU116" s="247"/>
      <c r="HV116" s="247"/>
      <c r="HW116" s="247"/>
      <c r="HX116" s="247"/>
      <c r="HY116" s="247"/>
      <c r="HZ116" s="247"/>
      <c r="IA116" s="247"/>
      <c r="IB116" s="247"/>
      <c r="IC116" s="247"/>
      <c r="ID116" s="247"/>
      <c r="IE116" s="247"/>
      <c r="IF116" s="247"/>
      <c r="IG116" s="247"/>
      <c r="IH116" s="247"/>
      <c r="II116" s="247"/>
      <c r="IJ116" s="247"/>
      <c r="IK116" s="247"/>
      <c r="IL116" s="247"/>
      <c r="IM116" s="247"/>
      <c r="IN116" s="247"/>
    </row>
    <row r="117" spans="1:248" ht="15">
      <c r="A117" s="247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/>
      <c r="EY117" s="247"/>
      <c r="EZ117" s="247"/>
      <c r="FA117" s="247"/>
      <c r="FB117" s="247"/>
      <c r="FC117" s="247"/>
      <c r="FD117" s="247"/>
      <c r="FE117" s="247"/>
      <c r="FF117" s="247"/>
      <c r="FG117" s="247"/>
      <c r="FH117" s="247"/>
      <c r="FI117" s="247"/>
      <c r="FJ117" s="247"/>
      <c r="FK117" s="247"/>
      <c r="FL117" s="247"/>
      <c r="FM117" s="247"/>
      <c r="FN117" s="247"/>
      <c r="FO117" s="247"/>
      <c r="FP117" s="247"/>
      <c r="FQ117" s="247"/>
      <c r="FR117" s="247"/>
      <c r="FS117" s="247"/>
      <c r="FT117" s="247"/>
      <c r="FU117" s="247"/>
      <c r="FV117" s="247"/>
      <c r="FW117" s="247"/>
      <c r="FX117" s="247"/>
      <c r="FY117" s="247"/>
      <c r="FZ117" s="247"/>
      <c r="GA117" s="247"/>
      <c r="GB117" s="247"/>
      <c r="GC117" s="247"/>
      <c r="GD117" s="247"/>
      <c r="GE117" s="247"/>
      <c r="GF117" s="247"/>
      <c r="GG117" s="247"/>
      <c r="GH117" s="247"/>
      <c r="GI117" s="247"/>
      <c r="GJ117" s="247"/>
      <c r="GK117" s="247"/>
      <c r="GL117" s="247"/>
      <c r="GM117" s="247"/>
      <c r="GN117" s="247"/>
      <c r="GO117" s="247"/>
      <c r="GP117" s="247"/>
      <c r="GQ117" s="247"/>
      <c r="GR117" s="247"/>
      <c r="GS117" s="247"/>
      <c r="GT117" s="247"/>
      <c r="GU117" s="247"/>
      <c r="GV117" s="247"/>
      <c r="GW117" s="247"/>
      <c r="GX117" s="247"/>
      <c r="GY117" s="247"/>
      <c r="GZ117" s="247"/>
      <c r="HA117" s="247"/>
      <c r="HB117" s="247"/>
      <c r="HC117" s="247"/>
      <c r="HD117" s="247"/>
      <c r="HE117" s="247"/>
      <c r="HF117" s="247"/>
      <c r="HG117" s="247"/>
      <c r="HH117" s="247"/>
      <c r="HI117" s="247"/>
      <c r="HJ117" s="247"/>
      <c r="HK117" s="247"/>
      <c r="HL117" s="247"/>
      <c r="HM117" s="247"/>
      <c r="HN117" s="247"/>
      <c r="HO117" s="247"/>
      <c r="HP117" s="247"/>
      <c r="HQ117" s="247"/>
      <c r="HR117" s="247"/>
      <c r="HS117" s="247"/>
      <c r="HT117" s="247"/>
      <c r="HU117" s="247"/>
      <c r="HV117" s="247"/>
      <c r="HW117" s="247"/>
      <c r="HX117" s="247"/>
      <c r="HY117" s="247"/>
      <c r="HZ117" s="247"/>
      <c r="IA117" s="247"/>
      <c r="IB117" s="247"/>
      <c r="IC117" s="247"/>
      <c r="ID117" s="247"/>
      <c r="IE117" s="247"/>
      <c r="IF117" s="247"/>
      <c r="IG117" s="247"/>
      <c r="IH117" s="247"/>
      <c r="II117" s="247"/>
      <c r="IJ117" s="247"/>
      <c r="IK117" s="247"/>
      <c r="IL117" s="247"/>
      <c r="IM117" s="247"/>
      <c r="IN117" s="247"/>
    </row>
    <row r="118" spans="1:248" ht="15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  <c r="EC118" s="247"/>
      <c r="ED118" s="247"/>
      <c r="EE118" s="247"/>
      <c r="EF118" s="247"/>
      <c r="EG118" s="247"/>
      <c r="EH118" s="247"/>
      <c r="EI118" s="247"/>
      <c r="EJ118" s="247"/>
      <c r="EK118" s="247"/>
      <c r="EL118" s="247"/>
      <c r="EM118" s="247"/>
      <c r="EN118" s="247"/>
      <c r="EO118" s="247"/>
      <c r="EP118" s="247"/>
      <c r="EQ118" s="247"/>
      <c r="ER118" s="247"/>
      <c r="ES118" s="247"/>
      <c r="ET118" s="247"/>
      <c r="EU118" s="247"/>
      <c r="EV118" s="247"/>
      <c r="EW118" s="247"/>
      <c r="EX118" s="247"/>
      <c r="EY118" s="247"/>
      <c r="EZ118" s="247"/>
      <c r="FA118" s="247"/>
      <c r="FB118" s="247"/>
      <c r="FC118" s="247"/>
      <c r="FD118" s="247"/>
      <c r="FE118" s="247"/>
      <c r="FF118" s="247"/>
      <c r="FG118" s="247"/>
      <c r="FH118" s="247"/>
      <c r="FI118" s="247"/>
      <c r="FJ118" s="247"/>
      <c r="FK118" s="247"/>
      <c r="FL118" s="247"/>
      <c r="FM118" s="247"/>
      <c r="FN118" s="247"/>
      <c r="FO118" s="247"/>
      <c r="FP118" s="247"/>
      <c r="FQ118" s="247"/>
      <c r="FR118" s="247"/>
      <c r="FS118" s="247"/>
      <c r="FT118" s="247"/>
      <c r="FU118" s="247"/>
      <c r="FV118" s="247"/>
      <c r="FW118" s="247"/>
      <c r="FX118" s="247"/>
      <c r="FY118" s="247"/>
      <c r="FZ118" s="247"/>
      <c r="GA118" s="247"/>
      <c r="GB118" s="247"/>
      <c r="GC118" s="247"/>
      <c r="GD118" s="247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  <c r="GO118" s="247"/>
      <c r="GP118" s="247"/>
      <c r="GQ118" s="247"/>
      <c r="GR118" s="247"/>
      <c r="GS118" s="247"/>
      <c r="GT118" s="247"/>
      <c r="GU118" s="247"/>
      <c r="GV118" s="247"/>
      <c r="GW118" s="247"/>
      <c r="GX118" s="247"/>
      <c r="GY118" s="247"/>
      <c r="GZ118" s="247"/>
      <c r="HA118" s="247"/>
      <c r="HB118" s="247"/>
      <c r="HC118" s="247"/>
      <c r="HD118" s="247"/>
      <c r="HE118" s="247"/>
      <c r="HF118" s="247"/>
      <c r="HG118" s="247"/>
      <c r="HH118" s="247"/>
      <c r="HI118" s="247"/>
      <c r="HJ118" s="247"/>
      <c r="HK118" s="247"/>
      <c r="HL118" s="247"/>
      <c r="HM118" s="247"/>
      <c r="HN118" s="247"/>
      <c r="HO118" s="247"/>
      <c r="HP118" s="247"/>
      <c r="HQ118" s="247"/>
      <c r="HR118" s="247"/>
      <c r="HS118" s="247"/>
      <c r="HT118" s="247"/>
      <c r="HU118" s="247"/>
      <c r="HV118" s="247"/>
      <c r="HW118" s="247"/>
      <c r="HX118" s="247"/>
      <c r="HY118" s="247"/>
      <c r="HZ118" s="247"/>
      <c r="IA118" s="247"/>
      <c r="IB118" s="247"/>
      <c r="IC118" s="247"/>
      <c r="ID118" s="247"/>
      <c r="IE118" s="247"/>
      <c r="IF118" s="247"/>
      <c r="IG118" s="247"/>
      <c r="IH118" s="247"/>
      <c r="II118" s="247"/>
      <c r="IJ118" s="247"/>
      <c r="IK118" s="247"/>
      <c r="IL118" s="247"/>
      <c r="IM118" s="247"/>
      <c r="IN118" s="247"/>
    </row>
    <row r="119" spans="1:248" ht="15">
      <c r="A119" s="2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  <c r="FF119" s="247"/>
      <c r="FG119" s="247"/>
      <c r="FH119" s="247"/>
      <c r="FI119" s="247"/>
      <c r="FJ119" s="247"/>
      <c r="FK119" s="247"/>
      <c r="FL119" s="247"/>
      <c r="FM119" s="247"/>
      <c r="FN119" s="247"/>
      <c r="FO119" s="247"/>
      <c r="FP119" s="247"/>
      <c r="FQ119" s="247"/>
      <c r="FR119" s="247"/>
      <c r="FS119" s="247"/>
      <c r="FT119" s="247"/>
      <c r="FU119" s="247"/>
      <c r="FV119" s="247"/>
      <c r="FW119" s="247"/>
      <c r="FX119" s="247"/>
      <c r="FY119" s="247"/>
      <c r="FZ119" s="247"/>
      <c r="GA119" s="247"/>
      <c r="GB119" s="247"/>
      <c r="GC119" s="247"/>
      <c r="GD119" s="247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  <c r="GO119" s="247"/>
      <c r="GP119" s="247"/>
      <c r="GQ119" s="247"/>
      <c r="GR119" s="247"/>
      <c r="GS119" s="247"/>
      <c r="GT119" s="247"/>
      <c r="GU119" s="247"/>
      <c r="GV119" s="247"/>
      <c r="GW119" s="247"/>
      <c r="GX119" s="247"/>
      <c r="GY119" s="247"/>
      <c r="GZ119" s="247"/>
      <c r="HA119" s="247"/>
      <c r="HB119" s="247"/>
      <c r="HC119" s="247"/>
      <c r="HD119" s="247"/>
      <c r="HE119" s="247"/>
      <c r="HF119" s="247"/>
      <c r="HG119" s="247"/>
      <c r="HH119" s="247"/>
      <c r="HI119" s="247"/>
      <c r="HJ119" s="247"/>
      <c r="HK119" s="247"/>
      <c r="HL119" s="247"/>
      <c r="HM119" s="247"/>
      <c r="HN119" s="247"/>
      <c r="HO119" s="247"/>
      <c r="HP119" s="247"/>
      <c r="HQ119" s="247"/>
      <c r="HR119" s="247"/>
      <c r="HS119" s="247"/>
      <c r="HT119" s="247"/>
      <c r="HU119" s="247"/>
      <c r="HV119" s="247"/>
      <c r="HW119" s="247"/>
      <c r="HX119" s="247"/>
      <c r="HY119" s="247"/>
      <c r="HZ119" s="247"/>
      <c r="IA119" s="247"/>
      <c r="IB119" s="247"/>
      <c r="IC119" s="247"/>
      <c r="ID119" s="247"/>
      <c r="IE119" s="247"/>
      <c r="IF119" s="247"/>
      <c r="IG119" s="247"/>
      <c r="IH119" s="247"/>
      <c r="II119" s="247"/>
      <c r="IJ119" s="247"/>
      <c r="IK119" s="247"/>
      <c r="IL119" s="247"/>
      <c r="IM119" s="247"/>
      <c r="IN119" s="247"/>
    </row>
    <row r="120" spans="1:248" ht="15">
      <c r="A120" s="2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  <c r="ES120" s="247"/>
      <c r="ET120" s="247"/>
      <c r="EU120" s="247"/>
      <c r="EV120" s="247"/>
      <c r="EW120" s="247"/>
      <c r="EX120" s="247"/>
      <c r="EY120" s="247"/>
      <c r="EZ120" s="247"/>
      <c r="FA120" s="247"/>
      <c r="FB120" s="247"/>
      <c r="FC120" s="247"/>
      <c r="FD120" s="247"/>
      <c r="FE120" s="247"/>
      <c r="FF120" s="247"/>
      <c r="FG120" s="247"/>
      <c r="FH120" s="247"/>
      <c r="FI120" s="247"/>
      <c r="FJ120" s="247"/>
      <c r="FK120" s="247"/>
      <c r="FL120" s="247"/>
      <c r="FM120" s="247"/>
      <c r="FN120" s="247"/>
      <c r="FO120" s="247"/>
      <c r="FP120" s="247"/>
      <c r="FQ120" s="247"/>
      <c r="FR120" s="247"/>
      <c r="FS120" s="247"/>
      <c r="FT120" s="247"/>
      <c r="FU120" s="247"/>
      <c r="FV120" s="247"/>
      <c r="FW120" s="247"/>
      <c r="FX120" s="247"/>
      <c r="FY120" s="247"/>
      <c r="FZ120" s="247"/>
      <c r="GA120" s="247"/>
      <c r="GB120" s="247"/>
      <c r="GC120" s="247"/>
      <c r="GD120" s="247"/>
      <c r="GE120" s="247"/>
      <c r="GF120" s="247"/>
      <c r="GG120" s="247"/>
      <c r="GH120" s="247"/>
      <c r="GI120" s="247"/>
      <c r="GJ120" s="247"/>
      <c r="GK120" s="247"/>
      <c r="GL120" s="247"/>
      <c r="GM120" s="247"/>
      <c r="GN120" s="247"/>
      <c r="GO120" s="247"/>
      <c r="GP120" s="247"/>
      <c r="GQ120" s="247"/>
      <c r="GR120" s="247"/>
      <c r="GS120" s="247"/>
      <c r="GT120" s="247"/>
      <c r="GU120" s="247"/>
      <c r="GV120" s="247"/>
      <c r="GW120" s="247"/>
      <c r="GX120" s="247"/>
      <c r="GY120" s="247"/>
      <c r="GZ120" s="247"/>
      <c r="HA120" s="247"/>
      <c r="HB120" s="247"/>
      <c r="HC120" s="247"/>
      <c r="HD120" s="247"/>
      <c r="HE120" s="247"/>
      <c r="HF120" s="247"/>
      <c r="HG120" s="247"/>
      <c r="HH120" s="247"/>
      <c r="HI120" s="247"/>
      <c r="HJ120" s="247"/>
      <c r="HK120" s="247"/>
      <c r="HL120" s="247"/>
      <c r="HM120" s="247"/>
      <c r="HN120" s="247"/>
      <c r="HO120" s="247"/>
      <c r="HP120" s="247"/>
      <c r="HQ120" s="247"/>
      <c r="HR120" s="247"/>
      <c r="HS120" s="247"/>
      <c r="HT120" s="247"/>
      <c r="HU120" s="247"/>
      <c r="HV120" s="247"/>
      <c r="HW120" s="247"/>
      <c r="HX120" s="247"/>
      <c r="HY120" s="247"/>
      <c r="HZ120" s="247"/>
      <c r="IA120" s="247"/>
      <c r="IB120" s="247"/>
      <c r="IC120" s="247"/>
      <c r="ID120" s="247"/>
      <c r="IE120" s="247"/>
      <c r="IF120" s="247"/>
      <c r="IG120" s="247"/>
      <c r="IH120" s="247"/>
      <c r="II120" s="247"/>
      <c r="IJ120" s="247"/>
      <c r="IK120" s="247"/>
      <c r="IL120" s="247"/>
      <c r="IM120" s="247"/>
      <c r="IN120" s="247"/>
    </row>
    <row r="121" spans="1:248" ht="15">
      <c r="A121" s="247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7"/>
      <c r="BK121" s="247"/>
      <c r="BL121" s="247"/>
      <c r="BM121" s="247"/>
      <c r="BN121" s="247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7"/>
      <c r="CA121" s="247"/>
      <c r="CB121" s="247"/>
      <c r="CC121" s="247"/>
      <c r="CD121" s="247"/>
      <c r="CE121" s="247"/>
      <c r="CF121" s="247"/>
      <c r="CG121" s="247"/>
      <c r="CH121" s="247"/>
      <c r="CI121" s="247"/>
      <c r="CJ121" s="247"/>
      <c r="CK121" s="247"/>
      <c r="CL121" s="247"/>
      <c r="CM121" s="247"/>
      <c r="CN121" s="247"/>
      <c r="CO121" s="247"/>
      <c r="CP121" s="247"/>
      <c r="CQ121" s="247"/>
      <c r="CR121" s="247"/>
      <c r="CS121" s="247"/>
      <c r="CT121" s="247"/>
      <c r="CU121" s="247"/>
      <c r="CV121" s="247"/>
      <c r="CW121" s="247"/>
      <c r="CX121" s="247"/>
      <c r="CY121" s="247"/>
      <c r="CZ121" s="247"/>
      <c r="DA121" s="247"/>
      <c r="DB121" s="247"/>
      <c r="DC121" s="247"/>
      <c r="DD121" s="247"/>
      <c r="DE121" s="247"/>
      <c r="DF121" s="247"/>
      <c r="DG121" s="247"/>
      <c r="DH121" s="247"/>
      <c r="DI121" s="247"/>
      <c r="DJ121" s="247"/>
      <c r="DK121" s="247"/>
      <c r="DL121" s="247"/>
      <c r="DM121" s="247"/>
      <c r="DN121" s="247"/>
      <c r="DO121" s="247"/>
      <c r="DP121" s="247"/>
      <c r="DQ121" s="247"/>
      <c r="DR121" s="247"/>
      <c r="DS121" s="247"/>
      <c r="DT121" s="247"/>
      <c r="DU121" s="247"/>
      <c r="DV121" s="247"/>
      <c r="DW121" s="247"/>
      <c r="DX121" s="247"/>
      <c r="DY121" s="247"/>
      <c r="DZ121" s="247"/>
      <c r="EA121" s="247"/>
      <c r="EB121" s="247"/>
      <c r="EC121" s="247"/>
      <c r="ED121" s="247"/>
      <c r="EE121" s="247"/>
      <c r="EF121" s="247"/>
      <c r="EG121" s="247"/>
      <c r="EH121" s="247"/>
      <c r="EI121" s="247"/>
      <c r="EJ121" s="247"/>
      <c r="EK121" s="247"/>
      <c r="EL121" s="247"/>
      <c r="EM121" s="247"/>
      <c r="EN121" s="247"/>
      <c r="EO121" s="247"/>
      <c r="EP121" s="247"/>
      <c r="EQ121" s="247"/>
      <c r="ER121" s="247"/>
      <c r="ES121" s="247"/>
      <c r="ET121" s="247"/>
      <c r="EU121" s="247"/>
      <c r="EV121" s="247"/>
      <c r="EW121" s="247"/>
      <c r="EX121" s="247"/>
      <c r="EY121" s="247"/>
      <c r="EZ121" s="247"/>
      <c r="FA121" s="247"/>
      <c r="FB121" s="247"/>
      <c r="FC121" s="247"/>
      <c r="FD121" s="247"/>
      <c r="FE121" s="247"/>
      <c r="FF121" s="247"/>
      <c r="FG121" s="247"/>
      <c r="FH121" s="247"/>
      <c r="FI121" s="247"/>
      <c r="FJ121" s="247"/>
      <c r="FK121" s="247"/>
      <c r="FL121" s="247"/>
      <c r="FM121" s="247"/>
      <c r="FN121" s="247"/>
      <c r="FO121" s="247"/>
      <c r="FP121" s="247"/>
      <c r="FQ121" s="247"/>
      <c r="FR121" s="247"/>
      <c r="FS121" s="247"/>
      <c r="FT121" s="247"/>
      <c r="FU121" s="247"/>
      <c r="FV121" s="247"/>
      <c r="FW121" s="247"/>
      <c r="FX121" s="247"/>
      <c r="FY121" s="247"/>
      <c r="FZ121" s="247"/>
      <c r="GA121" s="247"/>
      <c r="GB121" s="247"/>
      <c r="GC121" s="247"/>
      <c r="GD121" s="247"/>
      <c r="GE121" s="247"/>
      <c r="GF121" s="247"/>
      <c r="GG121" s="247"/>
      <c r="GH121" s="247"/>
      <c r="GI121" s="247"/>
      <c r="GJ121" s="247"/>
      <c r="GK121" s="247"/>
      <c r="GL121" s="247"/>
      <c r="GM121" s="247"/>
      <c r="GN121" s="247"/>
      <c r="GO121" s="247"/>
      <c r="GP121" s="247"/>
      <c r="GQ121" s="247"/>
      <c r="GR121" s="247"/>
      <c r="GS121" s="247"/>
      <c r="GT121" s="247"/>
      <c r="GU121" s="247"/>
      <c r="GV121" s="247"/>
      <c r="GW121" s="247"/>
      <c r="GX121" s="247"/>
      <c r="GY121" s="247"/>
      <c r="GZ121" s="247"/>
      <c r="HA121" s="247"/>
      <c r="HB121" s="247"/>
      <c r="HC121" s="247"/>
      <c r="HD121" s="247"/>
      <c r="HE121" s="247"/>
      <c r="HF121" s="247"/>
      <c r="HG121" s="247"/>
      <c r="HH121" s="247"/>
      <c r="HI121" s="247"/>
      <c r="HJ121" s="247"/>
      <c r="HK121" s="247"/>
      <c r="HL121" s="247"/>
      <c r="HM121" s="247"/>
      <c r="HN121" s="247"/>
      <c r="HO121" s="247"/>
      <c r="HP121" s="247"/>
      <c r="HQ121" s="247"/>
      <c r="HR121" s="247"/>
      <c r="HS121" s="247"/>
      <c r="HT121" s="247"/>
      <c r="HU121" s="247"/>
      <c r="HV121" s="247"/>
      <c r="HW121" s="247"/>
      <c r="HX121" s="247"/>
      <c r="HY121" s="247"/>
      <c r="HZ121" s="247"/>
      <c r="IA121" s="247"/>
      <c r="IB121" s="247"/>
      <c r="IC121" s="247"/>
      <c r="ID121" s="247"/>
      <c r="IE121" s="247"/>
      <c r="IF121" s="247"/>
      <c r="IG121" s="247"/>
      <c r="IH121" s="247"/>
      <c r="II121" s="247"/>
      <c r="IJ121" s="247"/>
      <c r="IK121" s="247"/>
      <c r="IL121" s="247"/>
      <c r="IM121" s="247"/>
      <c r="IN121" s="247"/>
    </row>
    <row r="122" spans="1:248" ht="15">
      <c r="A122" s="2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7"/>
      <c r="BK122" s="247"/>
      <c r="BL122" s="247"/>
      <c r="BM122" s="247"/>
      <c r="BN122" s="247"/>
      <c r="BO122" s="247"/>
      <c r="BP122" s="247"/>
      <c r="BQ122" s="247"/>
      <c r="BR122" s="247"/>
      <c r="BS122" s="247"/>
      <c r="BT122" s="247"/>
      <c r="BU122" s="247"/>
      <c r="BV122" s="247"/>
      <c r="BW122" s="247"/>
      <c r="BX122" s="247"/>
      <c r="BY122" s="247"/>
      <c r="BZ122" s="247"/>
      <c r="CA122" s="247"/>
      <c r="CB122" s="247"/>
      <c r="CC122" s="247"/>
      <c r="CD122" s="247"/>
      <c r="CE122" s="247"/>
      <c r="CF122" s="247"/>
      <c r="CG122" s="247"/>
      <c r="CH122" s="247"/>
      <c r="CI122" s="247"/>
      <c r="CJ122" s="247"/>
      <c r="CK122" s="247"/>
      <c r="CL122" s="247"/>
      <c r="CM122" s="247"/>
      <c r="CN122" s="247"/>
      <c r="CO122" s="247"/>
      <c r="CP122" s="247"/>
      <c r="CQ122" s="247"/>
      <c r="CR122" s="247"/>
      <c r="CS122" s="247"/>
      <c r="CT122" s="247"/>
      <c r="CU122" s="247"/>
      <c r="CV122" s="247"/>
      <c r="CW122" s="247"/>
      <c r="CX122" s="247"/>
      <c r="CY122" s="247"/>
      <c r="CZ122" s="247"/>
      <c r="DA122" s="247"/>
      <c r="DB122" s="247"/>
      <c r="DC122" s="247"/>
      <c r="DD122" s="247"/>
      <c r="DE122" s="247"/>
      <c r="DF122" s="247"/>
      <c r="DG122" s="247"/>
      <c r="DH122" s="247"/>
      <c r="DI122" s="247"/>
      <c r="DJ122" s="247"/>
      <c r="DK122" s="247"/>
      <c r="DL122" s="247"/>
      <c r="DM122" s="247"/>
      <c r="DN122" s="247"/>
      <c r="DO122" s="247"/>
      <c r="DP122" s="247"/>
      <c r="DQ122" s="247"/>
      <c r="DR122" s="247"/>
      <c r="DS122" s="247"/>
      <c r="DT122" s="247"/>
      <c r="DU122" s="247"/>
      <c r="DV122" s="247"/>
      <c r="DW122" s="247"/>
      <c r="DX122" s="247"/>
      <c r="DY122" s="247"/>
      <c r="DZ122" s="247"/>
      <c r="EA122" s="247"/>
      <c r="EB122" s="247"/>
      <c r="EC122" s="247"/>
      <c r="ED122" s="247"/>
      <c r="EE122" s="247"/>
      <c r="EF122" s="247"/>
      <c r="EG122" s="247"/>
      <c r="EH122" s="247"/>
      <c r="EI122" s="247"/>
      <c r="EJ122" s="247"/>
      <c r="EK122" s="247"/>
      <c r="EL122" s="247"/>
      <c r="EM122" s="247"/>
      <c r="EN122" s="247"/>
      <c r="EO122" s="247"/>
      <c r="EP122" s="247"/>
      <c r="EQ122" s="247"/>
      <c r="ER122" s="247"/>
      <c r="ES122" s="247"/>
      <c r="ET122" s="247"/>
      <c r="EU122" s="247"/>
      <c r="EV122" s="247"/>
      <c r="EW122" s="247"/>
      <c r="EX122" s="247"/>
      <c r="EY122" s="247"/>
      <c r="EZ122" s="247"/>
      <c r="FA122" s="247"/>
      <c r="FB122" s="247"/>
      <c r="FC122" s="247"/>
      <c r="FD122" s="247"/>
      <c r="FE122" s="247"/>
      <c r="FF122" s="247"/>
      <c r="FG122" s="247"/>
      <c r="FH122" s="247"/>
      <c r="FI122" s="247"/>
      <c r="FJ122" s="247"/>
      <c r="FK122" s="247"/>
      <c r="FL122" s="247"/>
      <c r="FM122" s="247"/>
      <c r="FN122" s="247"/>
      <c r="FO122" s="247"/>
      <c r="FP122" s="247"/>
      <c r="FQ122" s="247"/>
      <c r="FR122" s="247"/>
      <c r="FS122" s="247"/>
      <c r="FT122" s="247"/>
      <c r="FU122" s="247"/>
      <c r="FV122" s="247"/>
      <c r="FW122" s="247"/>
      <c r="FX122" s="247"/>
      <c r="FY122" s="247"/>
      <c r="FZ122" s="247"/>
      <c r="GA122" s="247"/>
      <c r="GB122" s="247"/>
      <c r="GC122" s="247"/>
      <c r="GD122" s="247"/>
      <c r="GE122" s="247"/>
      <c r="GF122" s="247"/>
      <c r="GG122" s="247"/>
      <c r="GH122" s="247"/>
      <c r="GI122" s="247"/>
      <c r="GJ122" s="247"/>
      <c r="GK122" s="247"/>
      <c r="GL122" s="247"/>
      <c r="GM122" s="247"/>
      <c r="GN122" s="247"/>
      <c r="GO122" s="247"/>
      <c r="GP122" s="247"/>
      <c r="GQ122" s="247"/>
      <c r="GR122" s="247"/>
      <c r="GS122" s="247"/>
      <c r="GT122" s="247"/>
      <c r="GU122" s="247"/>
      <c r="GV122" s="247"/>
      <c r="GW122" s="247"/>
      <c r="GX122" s="247"/>
      <c r="GY122" s="247"/>
      <c r="GZ122" s="247"/>
      <c r="HA122" s="247"/>
      <c r="HB122" s="247"/>
      <c r="HC122" s="247"/>
      <c r="HD122" s="247"/>
      <c r="HE122" s="247"/>
      <c r="HF122" s="247"/>
      <c r="HG122" s="247"/>
      <c r="HH122" s="247"/>
      <c r="HI122" s="247"/>
      <c r="HJ122" s="247"/>
      <c r="HK122" s="247"/>
      <c r="HL122" s="247"/>
      <c r="HM122" s="247"/>
      <c r="HN122" s="247"/>
      <c r="HO122" s="247"/>
      <c r="HP122" s="247"/>
      <c r="HQ122" s="247"/>
      <c r="HR122" s="247"/>
      <c r="HS122" s="247"/>
      <c r="HT122" s="247"/>
      <c r="HU122" s="247"/>
      <c r="HV122" s="247"/>
      <c r="HW122" s="247"/>
      <c r="HX122" s="247"/>
      <c r="HY122" s="247"/>
      <c r="HZ122" s="247"/>
      <c r="IA122" s="247"/>
      <c r="IB122" s="247"/>
      <c r="IC122" s="247"/>
      <c r="ID122" s="247"/>
      <c r="IE122" s="247"/>
      <c r="IF122" s="247"/>
      <c r="IG122" s="247"/>
      <c r="IH122" s="247"/>
      <c r="II122" s="247"/>
      <c r="IJ122" s="247"/>
      <c r="IK122" s="247"/>
      <c r="IL122" s="247"/>
      <c r="IM122" s="247"/>
      <c r="IN122" s="247"/>
    </row>
    <row r="123" spans="1:248" ht="15">
      <c r="A123" s="247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/>
      <c r="BU123" s="247"/>
      <c r="BV123" s="247"/>
      <c r="BW123" s="247"/>
      <c r="BX123" s="247"/>
      <c r="BY123" s="247"/>
      <c r="BZ123" s="247"/>
      <c r="CA123" s="247"/>
      <c r="CB123" s="247"/>
      <c r="CC123" s="247"/>
      <c r="CD123" s="247"/>
      <c r="CE123" s="247"/>
      <c r="CF123" s="247"/>
      <c r="CG123" s="247"/>
      <c r="CH123" s="247"/>
      <c r="CI123" s="247"/>
      <c r="CJ123" s="247"/>
      <c r="CK123" s="247"/>
      <c r="CL123" s="247"/>
      <c r="CM123" s="247"/>
      <c r="CN123" s="247"/>
      <c r="CO123" s="247"/>
      <c r="CP123" s="247"/>
      <c r="CQ123" s="247"/>
      <c r="CR123" s="247"/>
      <c r="CS123" s="247"/>
      <c r="CT123" s="247"/>
      <c r="CU123" s="247"/>
      <c r="CV123" s="247"/>
      <c r="CW123" s="247"/>
      <c r="CX123" s="247"/>
      <c r="CY123" s="247"/>
      <c r="CZ123" s="247"/>
      <c r="DA123" s="247"/>
      <c r="DB123" s="247"/>
      <c r="DC123" s="247"/>
      <c r="DD123" s="247"/>
      <c r="DE123" s="247"/>
      <c r="DF123" s="247"/>
      <c r="DG123" s="247"/>
      <c r="DH123" s="247"/>
      <c r="DI123" s="247"/>
      <c r="DJ123" s="247"/>
      <c r="DK123" s="247"/>
      <c r="DL123" s="247"/>
      <c r="DM123" s="247"/>
      <c r="DN123" s="247"/>
      <c r="DO123" s="247"/>
      <c r="DP123" s="247"/>
      <c r="DQ123" s="247"/>
      <c r="DR123" s="247"/>
      <c r="DS123" s="247"/>
      <c r="DT123" s="247"/>
      <c r="DU123" s="247"/>
      <c r="DV123" s="247"/>
      <c r="DW123" s="247"/>
      <c r="DX123" s="247"/>
      <c r="DY123" s="247"/>
      <c r="DZ123" s="247"/>
      <c r="EA123" s="247"/>
      <c r="EB123" s="247"/>
      <c r="EC123" s="247"/>
      <c r="ED123" s="247"/>
      <c r="EE123" s="247"/>
      <c r="EF123" s="247"/>
      <c r="EG123" s="247"/>
      <c r="EH123" s="247"/>
      <c r="EI123" s="247"/>
      <c r="EJ123" s="247"/>
      <c r="EK123" s="247"/>
      <c r="EL123" s="247"/>
      <c r="EM123" s="247"/>
      <c r="EN123" s="247"/>
      <c r="EO123" s="247"/>
      <c r="EP123" s="247"/>
      <c r="EQ123" s="247"/>
      <c r="ER123" s="247"/>
      <c r="ES123" s="247"/>
      <c r="ET123" s="247"/>
      <c r="EU123" s="247"/>
      <c r="EV123" s="247"/>
      <c r="EW123" s="247"/>
      <c r="EX123" s="247"/>
      <c r="EY123" s="247"/>
      <c r="EZ123" s="247"/>
      <c r="FA123" s="247"/>
      <c r="FB123" s="247"/>
      <c r="FC123" s="247"/>
      <c r="FD123" s="247"/>
      <c r="FE123" s="247"/>
      <c r="FF123" s="247"/>
      <c r="FG123" s="247"/>
      <c r="FH123" s="247"/>
      <c r="FI123" s="247"/>
      <c r="FJ123" s="247"/>
      <c r="FK123" s="247"/>
      <c r="FL123" s="247"/>
      <c r="FM123" s="247"/>
      <c r="FN123" s="247"/>
      <c r="FO123" s="247"/>
      <c r="FP123" s="247"/>
      <c r="FQ123" s="247"/>
      <c r="FR123" s="247"/>
      <c r="FS123" s="247"/>
      <c r="FT123" s="247"/>
      <c r="FU123" s="247"/>
      <c r="FV123" s="247"/>
      <c r="FW123" s="247"/>
      <c r="FX123" s="247"/>
      <c r="FY123" s="247"/>
      <c r="FZ123" s="247"/>
      <c r="GA123" s="247"/>
      <c r="GB123" s="247"/>
      <c r="GC123" s="247"/>
      <c r="GD123" s="247"/>
      <c r="GE123" s="247"/>
      <c r="GF123" s="247"/>
      <c r="GG123" s="247"/>
      <c r="GH123" s="247"/>
      <c r="GI123" s="247"/>
      <c r="GJ123" s="247"/>
      <c r="GK123" s="247"/>
      <c r="GL123" s="247"/>
      <c r="GM123" s="247"/>
      <c r="GN123" s="247"/>
      <c r="GO123" s="247"/>
      <c r="GP123" s="247"/>
      <c r="GQ123" s="247"/>
      <c r="GR123" s="247"/>
      <c r="GS123" s="247"/>
      <c r="GT123" s="247"/>
      <c r="GU123" s="247"/>
      <c r="GV123" s="247"/>
      <c r="GW123" s="247"/>
      <c r="GX123" s="247"/>
      <c r="GY123" s="247"/>
      <c r="GZ123" s="247"/>
      <c r="HA123" s="247"/>
      <c r="HB123" s="247"/>
      <c r="HC123" s="247"/>
      <c r="HD123" s="247"/>
      <c r="HE123" s="247"/>
      <c r="HF123" s="247"/>
      <c r="HG123" s="247"/>
      <c r="HH123" s="247"/>
      <c r="HI123" s="247"/>
      <c r="HJ123" s="247"/>
      <c r="HK123" s="247"/>
      <c r="HL123" s="247"/>
      <c r="HM123" s="247"/>
      <c r="HN123" s="247"/>
      <c r="HO123" s="247"/>
      <c r="HP123" s="247"/>
      <c r="HQ123" s="247"/>
      <c r="HR123" s="247"/>
      <c r="HS123" s="247"/>
      <c r="HT123" s="247"/>
      <c r="HU123" s="247"/>
      <c r="HV123" s="247"/>
      <c r="HW123" s="247"/>
      <c r="HX123" s="247"/>
      <c r="HY123" s="247"/>
      <c r="HZ123" s="247"/>
      <c r="IA123" s="247"/>
      <c r="IB123" s="247"/>
      <c r="IC123" s="247"/>
      <c r="ID123" s="247"/>
      <c r="IE123" s="247"/>
      <c r="IF123" s="247"/>
      <c r="IG123" s="247"/>
      <c r="IH123" s="247"/>
      <c r="II123" s="247"/>
      <c r="IJ123" s="247"/>
      <c r="IK123" s="247"/>
      <c r="IL123" s="247"/>
      <c r="IM123" s="247"/>
      <c r="IN123" s="247"/>
    </row>
    <row r="124" spans="1:248" ht="15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  <c r="EG124" s="247"/>
      <c r="EH124" s="247"/>
      <c r="EI124" s="247"/>
      <c r="EJ124" s="247"/>
      <c r="EK124" s="247"/>
      <c r="EL124" s="247"/>
      <c r="EM124" s="247"/>
      <c r="EN124" s="247"/>
      <c r="EO124" s="247"/>
      <c r="EP124" s="247"/>
      <c r="EQ124" s="247"/>
      <c r="ER124" s="247"/>
      <c r="ES124" s="247"/>
      <c r="ET124" s="247"/>
      <c r="EU124" s="247"/>
      <c r="EV124" s="247"/>
      <c r="EW124" s="247"/>
      <c r="EX124" s="247"/>
      <c r="EY124" s="247"/>
      <c r="EZ124" s="247"/>
      <c r="FA124" s="247"/>
      <c r="FB124" s="247"/>
      <c r="FC124" s="247"/>
      <c r="FD124" s="247"/>
      <c r="FE124" s="247"/>
      <c r="FF124" s="247"/>
      <c r="FG124" s="247"/>
      <c r="FH124" s="247"/>
      <c r="FI124" s="247"/>
      <c r="FJ124" s="247"/>
      <c r="FK124" s="247"/>
      <c r="FL124" s="247"/>
      <c r="FM124" s="247"/>
      <c r="FN124" s="247"/>
      <c r="FO124" s="247"/>
      <c r="FP124" s="247"/>
      <c r="FQ124" s="247"/>
      <c r="FR124" s="247"/>
      <c r="FS124" s="247"/>
      <c r="FT124" s="247"/>
      <c r="FU124" s="247"/>
      <c r="FV124" s="247"/>
      <c r="FW124" s="247"/>
      <c r="FX124" s="247"/>
      <c r="FY124" s="247"/>
      <c r="FZ124" s="247"/>
      <c r="GA124" s="247"/>
      <c r="GB124" s="247"/>
      <c r="GC124" s="247"/>
      <c r="GD124" s="247"/>
      <c r="GE124" s="247"/>
      <c r="GF124" s="247"/>
      <c r="GG124" s="247"/>
      <c r="GH124" s="247"/>
      <c r="GI124" s="247"/>
      <c r="GJ124" s="247"/>
      <c r="GK124" s="247"/>
      <c r="GL124" s="247"/>
      <c r="GM124" s="247"/>
      <c r="GN124" s="247"/>
      <c r="GO124" s="247"/>
      <c r="GP124" s="247"/>
      <c r="GQ124" s="247"/>
      <c r="GR124" s="247"/>
      <c r="GS124" s="247"/>
      <c r="GT124" s="247"/>
      <c r="GU124" s="247"/>
      <c r="GV124" s="247"/>
      <c r="GW124" s="247"/>
      <c r="GX124" s="247"/>
      <c r="GY124" s="247"/>
      <c r="GZ124" s="247"/>
      <c r="HA124" s="247"/>
      <c r="HB124" s="247"/>
      <c r="HC124" s="247"/>
      <c r="HD124" s="247"/>
      <c r="HE124" s="247"/>
      <c r="HF124" s="247"/>
      <c r="HG124" s="247"/>
      <c r="HH124" s="247"/>
      <c r="HI124" s="247"/>
      <c r="HJ124" s="247"/>
      <c r="HK124" s="247"/>
      <c r="HL124" s="247"/>
      <c r="HM124" s="247"/>
      <c r="HN124" s="247"/>
      <c r="HO124" s="247"/>
      <c r="HP124" s="247"/>
      <c r="HQ124" s="247"/>
      <c r="HR124" s="247"/>
      <c r="HS124" s="247"/>
      <c r="HT124" s="247"/>
      <c r="HU124" s="247"/>
      <c r="HV124" s="247"/>
      <c r="HW124" s="247"/>
      <c r="HX124" s="247"/>
      <c r="HY124" s="247"/>
      <c r="HZ124" s="247"/>
      <c r="IA124" s="247"/>
      <c r="IB124" s="247"/>
      <c r="IC124" s="247"/>
      <c r="ID124" s="247"/>
      <c r="IE124" s="247"/>
      <c r="IF124" s="247"/>
      <c r="IG124" s="247"/>
      <c r="IH124" s="247"/>
      <c r="II124" s="247"/>
      <c r="IJ124" s="247"/>
      <c r="IK124" s="247"/>
      <c r="IL124" s="247"/>
      <c r="IM124" s="247"/>
      <c r="IN124" s="247"/>
    </row>
    <row r="125" spans="1:248" ht="15">
      <c r="A125" s="247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247"/>
      <c r="BC125" s="247"/>
      <c r="BD125" s="247"/>
      <c r="BE125" s="247"/>
      <c r="BF125" s="247"/>
      <c r="BG125" s="247"/>
      <c r="BH125" s="247"/>
      <c r="BI125" s="247"/>
      <c r="BJ125" s="247"/>
      <c r="BK125" s="247"/>
      <c r="BL125" s="247"/>
      <c r="BM125" s="247"/>
      <c r="BN125" s="247"/>
      <c r="BO125" s="247"/>
      <c r="BP125" s="247"/>
      <c r="BQ125" s="247"/>
      <c r="BR125" s="247"/>
      <c r="BS125" s="247"/>
      <c r="BT125" s="247"/>
      <c r="BU125" s="247"/>
      <c r="BV125" s="247"/>
      <c r="BW125" s="247"/>
      <c r="BX125" s="247"/>
      <c r="BY125" s="247"/>
      <c r="BZ125" s="247"/>
      <c r="CA125" s="247"/>
      <c r="CB125" s="247"/>
      <c r="CC125" s="247"/>
      <c r="CD125" s="247"/>
      <c r="CE125" s="247"/>
      <c r="CF125" s="247"/>
      <c r="CG125" s="247"/>
      <c r="CH125" s="247"/>
      <c r="CI125" s="247"/>
      <c r="CJ125" s="247"/>
      <c r="CK125" s="247"/>
      <c r="CL125" s="247"/>
      <c r="CM125" s="247"/>
      <c r="CN125" s="247"/>
      <c r="CO125" s="247"/>
      <c r="CP125" s="247"/>
      <c r="CQ125" s="247"/>
      <c r="CR125" s="247"/>
      <c r="CS125" s="247"/>
      <c r="CT125" s="247"/>
      <c r="CU125" s="247"/>
      <c r="CV125" s="247"/>
      <c r="CW125" s="247"/>
      <c r="CX125" s="247"/>
      <c r="CY125" s="247"/>
      <c r="CZ125" s="247"/>
      <c r="DA125" s="247"/>
      <c r="DB125" s="247"/>
      <c r="DC125" s="247"/>
      <c r="DD125" s="247"/>
      <c r="DE125" s="247"/>
      <c r="DF125" s="247"/>
      <c r="DG125" s="247"/>
      <c r="DH125" s="247"/>
      <c r="DI125" s="247"/>
      <c r="DJ125" s="247"/>
      <c r="DK125" s="247"/>
      <c r="DL125" s="247"/>
      <c r="DM125" s="247"/>
      <c r="DN125" s="247"/>
      <c r="DO125" s="247"/>
      <c r="DP125" s="247"/>
      <c r="DQ125" s="247"/>
      <c r="DR125" s="247"/>
      <c r="DS125" s="247"/>
      <c r="DT125" s="247"/>
      <c r="DU125" s="247"/>
      <c r="DV125" s="247"/>
      <c r="DW125" s="247"/>
      <c r="DX125" s="247"/>
      <c r="DY125" s="247"/>
      <c r="DZ125" s="247"/>
      <c r="EA125" s="247"/>
      <c r="EB125" s="247"/>
      <c r="EC125" s="247"/>
      <c r="ED125" s="247"/>
      <c r="EE125" s="247"/>
      <c r="EF125" s="247"/>
      <c r="EG125" s="247"/>
      <c r="EH125" s="247"/>
      <c r="EI125" s="247"/>
      <c r="EJ125" s="247"/>
      <c r="EK125" s="247"/>
      <c r="EL125" s="247"/>
      <c r="EM125" s="247"/>
      <c r="EN125" s="247"/>
      <c r="EO125" s="247"/>
      <c r="EP125" s="247"/>
      <c r="EQ125" s="247"/>
      <c r="ER125" s="247"/>
      <c r="ES125" s="247"/>
      <c r="ET125" s="247"/>
      <c r="EU125" s="247"/>
      <c r="EV125" s="247"/>
      <c r="EW125" s="247"/>
      <c r="EX125" s="247"/>
      <c r="EY125" s="247"/>
      <c r="EZ125" s="247"/>
      <c r="FA125" s="247"/>
      <c r="FB125" s="247"/>
      <c r="FC125" s="247"/>
      <c r="FD125" s="247"/>
      <c r="FE125" s="247"/>
      <c r="FF125" s="247"/>
      <c r="FG125" s="247"/>
      <c r="FH125" s="247"/>
      <c r="FI125" s="247"/>
      <c r="FJ125" s="247"/>
      <c r="FK125" s="247"/>
      <c r="FL125" s="247"/>
      <c r="FM125" s="247"/>
      <c r="FN125" s="247"/>
      <c r="FO125" s="247"/>
      <c r="FP125" s="247"/>
      <c r="FQ125" s="247"/>
      <c r="FR125" s="247"/>
      <c r="FS125" s="247"/>
      <c r="FT125" s="247"/>
      <c r="FU125" s="247"/>
      <c r="FV125" s="247"/>
      <c r="FW125" s="247"/>
      <c r="FX125" s="247"/>
      <c r="FY125" s="247"/>
      <c r="FZ125" s="247"/>
      <c r="GA125" s="247"/>
      <c r="GB125" s="247"/>
      <c r="GC125" s="247"/>
      <c r="GD125" s="247"/>
      <c r="GE125" s="247"/>
      <c r="GF125" s="247"/>
      <c r="GG125" s="247"/>
      <c r="GH125" s="247"/>
      <c r="GI125" s="247"/>
      <c r="GJ125" s="247"/>
      <c r="GK125" s="247"/>
      <c r="GL125" s="247"/>
      <c r="GM125" s="247"/>
      <c r="GN125" s="247"/>
      <c r="GO125" s="247"/>
      <c r="GP125" s="247"/>
      <c r="GQ125" s="247"/>
      <c r="GR125" s="247"/>
      <c r="GS125" s="247"/>
      <c r="GT125" s="247"/>
      <c r="GU125" s="247"/>
      <c r="GV125" s="247"/>
      <c r="GW125" s="247"/>
      <c r="GX125" s="247"/>
      <c r="GY125" s="247"/>
      <c r="GZ125" s="247"/>
      <c r="HA125" s="247"/>
      <c r="HB125" s="247"/>
      <c r="HC125" s="247"/>
      <c r="HD125" s="247"/>
      <c r="HE125" s="247"/>
      <c r="HF125" s="247"/>
      <c r="HG125" s="247"/>
      <c r="HH125" s="247"/>
      <c r="HI125" s="247"/>
      <c r="HJ125" s="247"/>
      <c r="HK125" s="247"/>
      <c r="HL125" s="247"/>
      <c r="HM125" s="247"/>
      <c r="HN125" s="247"/>
      <c r="HO125" s="247"/>
      <c r="HP125" s="247"/>
      <c r="HQ125" s="247"/>
      <c r="HR125" s="247"/>
      <c r="HS125" s="247"/>
      <c r="HT125" s="247"/>
      <c r="HU125" s="247"/>
      <c r="HV125" s="247"/>
      <c r="HW125" s="247"/>
      <c r="HX125" s="247"/>
      <c r="HY125" s="247"/>
      <c r="HZ125" s="247"/>
      <c r="IA125" s="247"/>
      <c r="IB125" s="247"/>
      <c r="IC125" s="247"/>
      <c r="ID125" s="247"/>
      <c r="IE125" s="247"/>
      <c r="IF125" s="247"/>
      <c r="IG125" s="247"/>
      <c r="IH125" s="247"/>
      <c r="II125" s="247"/>
      <c r="IJ125" s="247"/>
      <c r="IK125" s="247"/>
      <c r="IL125" s="247"/>
      <c r="IM125" s="247"/>
      <c r="IN125" s="247"/>
    </row>
    <row r="126" spans="1:248" ht="15">
      <c r="A126" s="247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7"/>
      <c r="BB126" s="247"/>
      <c r="BC126" s="247"/>
      <c r="BD126" s="247"/>
      <c r="BE126" s="247"/>
      <c r="BF126" s="247"/>
      <c r="BG126" s="247"/>
      <c r="BH126" s="247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  <c r="BT126" s="247"/>
      <c r="BU126" s="247"/>
      <c r="BV126" s="247"/>
      <c r="BW126" s="247"/>
      <c r="BX126" s="247"/>
      <c r="BY126" s="247"/>
      <c r="BZ126" s="247"/>
      <c r="CA126" s="247"/>
      <c r="CB126" s="247"/>
      <c r="CC126" s="247"/>
      <c r="CD126" s="247"/>
      <c r="CE126" s="247"/>
      <c r="CF126" s="247"/>
      <c r="CG126" s="247"/>
      <c r="CH126" s="247"/>
      <c r="CI126" s="247"/>
      <c r="CJ126" s="247"/>
      <c r="CK126" s="247"/>
      <c r="CL126" s="247"/>
      <c r="CM126" s="247"/>
      <c r="CN126" s="247"/>
      <c r="CO126" s="247"/>
      <c r="CP126" s="247"/>
      <c r="CQ126" s="247"/>
      <c r="CR126" s="247"/>
      <c r="CS126" s="247"/>
      <c r="CT126" s="247"/>
      <c r="CU126" s="247"/>
      <c r="CV126" s="247"/>
      <c r="CW126" s="247"/>
      <c r="CX126" s="247"/>
      <c r="CY126" s="247"/>
      <c r="CZ126" s="247"/>
      <c r="DA126" s="247"/>
      <c r="DB126" s="247"/>
      <c r="DC126" s="247"/>
      <c r="DD126" s="247"/>
      <c r="DE126" s="247"/>
      <c r="DF126" s="247"/>
      <c r="DG126" s="247"/>
      <c r="DH126" s="247"/>
      <c r="DI126" s="247"/>
      <c r="DJ126" s="247"/>
      <c r="DK126" s="247"/>
      <c r="DL126" s="247"/>
      <c r="DM126" s="247"/>
      <c r="DN126" s="247"/>
      <c r="DO126" s="247"/>
      <c r="DP126" s="247"/>
      <c r="DQ126" s="247"/>
      <c r="DR126" s="247"/>
      <c r="DS126" s="247"/>
      <c r="DT126" s="247"/>
      <c r="DU126" s="247"/>
      <c r="DV126" s="247"/>
      <c r="DW126" s="247"/>
      <c r="DX126" s="247"/>
      <c r="DY126" s="247"/>
      <c r="DZ126" s="247"/>
      <c r="EA126" s="247"/>
      <c r="EB126" s="247"/>
      <c r="EC126" s="247"/>
      <c r="ED126" s="247"/>
      <c r="EE126" s="247"/>
      <c r="EF126" s="247"/>
      <c r="EG126" s="247"/>
      <c r="EH126" s="247"/>
      <c r="EI126" s="247"/>
      <c r="EJ126" s="247"/>
      <c r="EK126" s="247"/>
      <c r="EL126" s="247"/>
      <c r="EM126" s="247"/>
      <c r="EN126" s="247"/>
      <c r="EO126" s="247"/>
      <c r="EP126" s="247"/>
      <c r="EQ126" s="247"/>
      <c r="ER126" s="247"/>
      <c r="ES126" s="247"/>
      <c r="ET126" s="247"/>
      <c r="EU126" s="247"/>
      <c r="EV126" s="247"/>
      <c r="EW126" s="247"/>
      <c r="EX126" s="247"/>
      <c r="EY126" s="247"/>
      <c r="EZ126" s="247"/>
      <c r="FA126" s="247"/>
      <c r="FB126" s="247"/>
      <c r="FC126" s="247"/>
      <c r="FD126" s="247"/>
      <c r="FE126" s="247"/>
      <c r="FF126" s="247"/>
      <c r="FG126" s="247"/>
      <c r="FH126" s="247"/>
      <c r="FI126" s="247"/>
      <c r="FJ126" s="247"/>
      <c r="FK126" s="247"/>
      <c r="FL126" s="247"/>
      <c r="FM126" s="247"/>
      <c r="FN126" s="247"/>
      <c r="FO126" s="247"/>
      <c r="FP126" s="247"/>
      <c r="FQ126" s="247"/>
      <c r="FR126" s="247"/>
      <c r="FS126" s="247"/>
      <c r="FT126" s="247"/>
      <c r="FU126" s="247"/>
      <c r="FV126" s="247"/>
      <c r="FW126" s="247"/>
      <c r="FX126" s="247"/>
      <c r="FY126" s="247"/>
      <c r="FZ126" s="247"/>
      <c r="GA126" s="247"/>
      <c r="GB126" s="247"/>
      <c r="GC126" s="247"/>
      <c r="GD126" s="247"/>
      <c r="GE126" s="247"/>
      <c r="GF126" s="247"/>
      <c r="GG126" s="247"/>
      <c r="GH126" s="247"/>
      <c r="GI126" s="247"/>
      <c r="GJ126" s="247"/>
      <c r="GK126" s="247"/>
      <c r="GL126" s="247"/>
      <c r="GM126" s="247"/>
      <c r="GN126" s="247"/>
      <c r="GO126" s="247"/>
      <c r="GP126" s="247"/>
      <c r="GQ126" s="247"/>
      <c r="GR126" s="247"/>
      <c r="GS126" s="247"/>
      <c r="GT126" s="247"/>
      <c r="GU126" s="247"/>
      <c r="GV126" s="247"/>
      <c r="GW126" s="247"/>
      <c r="GX126" s="247"/>
      <c r="GY126" s="247"/>
      <c r="GZ126" s="247"/>
      <c r="HA126" s="247"/>
      <c r="HB126" s="247"/>
      <c r="HC126" s="247"/>
      <c r="HD126" s="247"/>
      <c r="HE126" s="247"/>
      <c r="HF126" s="247"/>
      <c r="HG126" s="247"/>
      <c r="HH126" s="247"/>
      <c r="HI126" s="247"/>
      <c r="HJ126" s="247"/>
      <c r="HK126" s="247"/>
      <c r="HL126" s="247"/>
      <c r="HM126" s="247"/>
      <c r="HN126" s="247"/>
      <c r="HO126" s="247"/>
      <c r="HP126" s="247"/>
      <c r="HQ126" s="247"/>
      <c r="HR126" s="247"/>
      <c r="HS126" s="247"/>
      <c r="HT126" s="247"/>
      <c r="HU126" s="247"/>
      <c r="HV126" s="247"/>
      <c r="HW126" s="247"/>
      <c r="HX126" s="247"/>
      <c r="HY126" s="247"/>
      <c r="HZ126" s="247"/>
      <c r="IA126" s="247"/>
      <c r="IB126" s="247"/>
      <c r="IC126" s="247"/>
      <c r="ID126" s="247"/>
      <c r="IE126" s="247"/>
      <c r="IF126" s="247"/>
      <c r="IG126" s="247"/>
      <c r="IH126" s="247"/>
      <c r="II126" s="247"/>
      <c r="IJ126" s="247"/>
      <c r="IK126" s="247"/>
      <c r="IL126" s="247"/>
      <c r="IM126" s="247"/>
      <c r="IN126" s="247"/>
    </row>
    <row r="127" spans="1:248" ht="15">
      <c r="A127" s="247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247"/>
      <c r="BQ127" s="247"/>
      <c r="BR127" s="247"/>
      <c r="BS127" s="247"/>
      <c r="BT127" s="247"/>
      <c r="BU127" s="247"/>
      <c r="BV127" s="247"/>
      <c r="BW127" s="247"/>
      <c r="BX127" s="247"/>
      <c r="BY127" s="247"/>
      <c r="BZ127" s="247"/>
      <c r="CA127" s="247"/>
      <c r="CB127" s="247"/>
      <c r="CC127" s="247"/>
      <c r="CD127" s="247"/>
      <c r="CE127" s="247"/>
      <c r="CF127" s="247"/>
      <c r="CG127" s="247"/>
      <c r="CH127" s="247"/>
      <c r="CI127" s="247"/>
      <c r="CJ127" s="247"/>
      <c r="CK127" s="247"/>
      <c r="CL127" s="247"/>
      <c r="CM127" s="247"/>
      <c r="CN127" s="247"/>
      <c r="CO127" s="247"/>
      <c r="CP127" s="247"/>
      <c r="CQ127" s="247"/>
      <c r="CR127" s="247"/>
      <c r="CS127" s="247"/>
      <c r="CT127" s="247"/>
      <c r="CU127" s="247"/>
      <c r="CV127" s="247"/>
      <c r="CW127" s="247"/>
      <c r="CX127" s="247"/>
      <c r="CY127" s="247"/>
      <c r="CZ127" s="247"/>
      <c r="DA127" s="247"/>
      <c r="DB127" s="247"/>
      <c r="DC127" s="247"/>
      <c r="DD127" s="247"/>
      <c r="DE127" s="247"/>
      <c r="DF127" s="247"/>
      <c r="DG127" s="247"/>
      <c r="DH127" s="247"/>
      <c r="DI127" s="247"/>
      <c r="DJ127" s="247"/>
      <c r="DK127" s="247"/>
      <c r="DL127" s="247"/>
      <c r="DM127" s="247"/>
      <c r="DN127" s="247"/>
      <c r="DO127" s="247"/>
      <c r="DP127" s="247"/>
      <c r="DQ127" s="247"/>
      <c r="DR127" s="247"/>
      <c r="DS127" s="247"/>
      <c r="DT127" s="247"/>
      <c r="DU127" s="247"/>
      <c r="DV127" s="247"/>
      <c r="DW127" s="247"/>
      <c r="DX127" s="247"/>
      <c r="DY127" s="247"/>
      <c r="DZ127" s="247"/>
      <c r="EA127" s="247"/>
      <c r="EB127" s="247"/>
      <c r="EC127" s="247"/>
      <c r="ED127" s="247"/>
      <c r="EE127" s="247"/>
      <c r="EF127" s="247"/>
      <c r="EG127" s="247"/>
      <c r="EH127" s="247"/>
      <c r="EI127" s="247"/>
      <c r="EJ127" s="247"/>
      <c r="EK127" s="247"/>
      <c r="EL127" s="247"/>
      <c r="EM127" s="247"/>
      <c r="EN127" s="247"/>
      <c r="EO127" s="247"/>
      <c r="EP127" s="247"/>
      <c r="EQ127" s="247"/>
      <c r="ER127" s="247"/>
      <c r="ES127" s="247"/>
      <c r="ET127" s="247"/>
      <c r="EU127" s="247"/>
      <c r="EV127" s="247"/>
      <c r="EW127" s="247"/>
      <c r="EX127" s="247"/>
      <c r="EY127" s="247"/>
      <c r="EZ127" s="247"/>
      <c r="FA127" s="247"/>
      <c r="FB127" s="247"/>
      <c r="FC127" s="247"/>
      <c r="FD127" s="247"/>
      <c r="FE127" s="247"/>
      <c r="FF127" s="247"/>
      <c r="FG127" s="247"/>
      <c r="FH127" s="247"/>
      <c r="FI127" s="247"/>
      <c r="FJ127" s="247"/>
      <c r="FK127" s="247"/>
      <c r="FL127" s="247"/>
      <c r="FM127" s="247"/>
      <c r="FN127" s="247"/>
      <c r="FO127" s="247"/>
      <c r="FP127" s="247"/>
      <c r="FQ127" s="247"/>
      <c r="FR127" s="247"/>
      <c r="FS127" s="247"/>
      <c r="FT127" s="247"/>
      <c r="FU127" s="247"/>
      <c r="FV127" s="247"/>
      <c r="FW127" s="247"/>
      <c r="FX127" s="247"/>
      <c r="FY127" s="247"/>
      <c r="FZ127" s="247"/>
      <c r="GA127" s="247"/>
      <c r="GB127" s="247"/>
      <c r="GC127" s="247"/>
      <c r="GD127" s="247"/>
      <c r="GE127" s="247"/>
      <c r="GF127" s="247"/>
      <c r="GG127" s="247"/>
      <c r="GH127" s="247"/>
      <c r="GI127" s="247"/>
      <c r="GJ127" s="247"/>
      <c r="GK127" s="247"/>
      <c r="GL127" s="247"/>
      <c r="GM127" s="247"/>
      <c r="GN127" s="247"/>
      <c r="GO127" s="247"/>
      <c r="GP127" s="247"/>
      <c r="GQ127" s="247"/>
      <c r="GR127" s="247"/>
      <c r="GS127" s="247"/>
      <c r="GT127" s="247"/>
      <c r="GU127" s="247"/>
      <c r="GV127" s="247"/>
      <c r="GW127" s="247"/>
      <c r="GX127" s="247"/>
      <c r="GY127" s="247"/>
      <c r="GZ127" s="247"/>
      <c r="HA127" s="247"/>
      <c r="HB127" s="247"/>
      <c r="HC127" s="247"/>
      <c r="HD127" s="247"/>
      <c r="HE127" s="247"/>
      <c r="HF127" s="247"/>
      <c r="HG127" s="247"/>
      <c r="HH127" s="247"/>
      <c r="HI127" s="247"/>
      <c r="HJ127" s="247"/>
      <c r="HK127" s="247"/>
      <c r="HL127" s="247"/>
      <c r="HM127" s="247"/>
      <c r="HN127" s="247"/>
      <c r="HO127" s="247"/>
      <c r="HP127" s="247"/>
      <c r="HQ127" s="247"/>
      <c r="HR127" s="247"/>
      <c r="HS127" s="247"/>
      <c r="HT127" s="247"/>
      <c r="HU127" s="247"/>
      <c r="HV127" s="247"/>
      <c r="HW127" s="247"/>
      <c r="HX127" s="247"/>
      <c r="HY127" s="247"/>
      <c r="HZ127" s="247"/>
      <c r="IA127" s="247"/>
      <c r="IB127" s="247"/>
      <c r="IC127" s="247"/>
      <c r="ID127" s="247"/>
      <c r="IE127" s="247"/>
      <c r="IF127" s="247"/>
      <c r="IG127" s="247"/>
      <c r="IH127" s="247"/>
      <c r="II127" s="247"/>
      <c r="IJ127" s="247"/>
      <c r="IK127" s="247"/>
      <c r="IL127" s="247"/>
      <c r="IM127" s="247"/>
      <c r="IN127" s="247"/>
    </row>
    <row r="128" spans="1:248" ht="15">
      <c r="A128" s="247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  <c r="BB128" s="247"/>
      <c r="BC128" s="247"/>
      <c r="BD128" s="247"/>
      <c r="BE128" s="247"/>
      <c r="BF128" s="247"/>
      <c r="BG128" s="247"/>
      <c r="BH128" s="247"/>
      <c r="BI128" s="247"/>
      <c r="BJ128" s="247"/>
      <c r="BK128" s="247"/>
      <c r="BL128" s="247"/>
      <c r="BM128" s="247"/>
      <c r="BN128" s="247"/>
      <c r="BO128" s="247"/>
      <c r="BP128" s="247"/>
      <c r="BQ128" s="247"/>
      <c r="BR128" s="247"/>
      <c r="BS128" s="247"/>
      <c r="BT128" s="247"/>
      <c r="BU128" s="247"/>
      <c r="BV128" s="247"/>
      <c r="BW128" s="247"/>
      <c r="BX128" s="247"/>
      <c r="BY128" s="247"/>
      <c r="BZ128" s="247"/>
      <c r="CA128" s="247"/>
      <c r="CB128" s="247"/>
      <c r="CC128" s="247"/>
      <c r="CD128" s="247"/>
      <c r="CE128" s="247"/>
      <c r="CF128" s="247"/>
      <c r="CG128" s="247"/>
      <c r="CH128" s="247"/>
      <c r="CI128" s="247"/>
      <c r="CJ128" s="247"/>
      <c r="CK128" s="247"/>
      <c r="CL128" s="247"/>
      <c r="CM128" s="247"/>
      <c r="CN128" s="247"/>
      <c r="CO128" s="247"/>
      <c r="CP128" s="247"/>
      <c r="CQ128" s="247"/>
      <c r="CR128" s="247"/>
      <c r="CS128" s="247"/>
      <c r="CT128" s="247"/>
      <c r="CU128" s="247"/>
      <c r="CV128" s="247"/>
      <c r="CW128" s="247"/>
      <c r="CX128" s="247"/>
      <c r="CY128" s="247"/>
      <c r="CZ128" s="247"/>
      <c r="DA128" s="247"/>
      <c r="DB128" s="247"/>
      <c r="DC128" s="247"/>
      <c r="DD128" s="247"/>
      <c r="DE128" s="247"/>
      <c r="DF128" s="247"/>
      <c r="DG128" s="247"/>
      <c r="DH128" s="247"/>
      <c r="DI128" s="247"/>
      <c r="DJ128" s="247"/>
      <c r="DK128" s="247"/>
      <c r="DL128" s="247"/>
      <c r="DM128" s="247"/>
      <c r="DN128" s="247"/>
      <c r="DO128" s="247"/>
      <c r="DP128" s="247"/>
      <c r="DQ128" s="247"/>
      <c r="DR128" s="247"/>
      <c r="DS128" s="247"/>
      <c r="DT128" s="247"/>
      <c r="DU128" s="247"/>
      <c r="DV128" s="247"/>
      <c r="DW128" s="247"/>
      <c r="DX128" s="247"/>
      <c r="DY128" s="247"/>
      <c r="DZ128" s="247"/>
      <c r="EA128" s="247"/>
      <c r="EB128" s="247"/>
      <c r="EC128" s="247"/>
      <c r="ED128" s="247"/>
      <c r="EE128" s="247"/>
      <c r="EF128" s="247"/>
      <c r="EG128" s="247"/>
      <c r="EH128" s="247"/>
      <c r="EI128" s="247"/>
      <c r="EJ128" s="247"/>
      <c r="EK128" s="247"/>
      <c r="EL128" s="247"/>
      <c r="EM128" s="247"/>
      <c r="EN128" s="247"/>
      <c r="EO128" s="247"/>
      <c r="EP128" s="247"/>
      <c r="EQ128" s="247"/>
      <c r="ER128" s="247"/>
      <c r="ES128" s="247"/>
      <c r="ET128" s="247"/>
      <c r="EU128" s="247"/>
      <c r="EV128" s="247"/>
      <c r="EW128" s="247"/>
      <c r="EX128" s="247"/>
      <c r="EY128" s="247"/>
      <c r="EZ128" s="247"/>
      <c r="FA128" s="247"/>
      <c r="FB128" s="247"/>
      <c r="FC128" s="247"/>
      <c r="FD128" s="247"/>
      <c r="FE128" s="247"/>
      <c r="FF128" s="247"/>
      <c r="FG128" s="247"/>
      <c r="FH128" s="247"/>
      <c r="FI128" s="247"/>
      <c r="FJ128" s="247"/>
      <c r="FK128" s="247"/>
      <c r="FL128" s="247"/>
      <c r="FM128" s="247"/>
      <c r="FN128" s="247"/>
      <c r="FO128" s="247"/>
      <c r="FP128" s="247"/>
      <c r="FQ128" s="247"/>
      <c r="FR128" s="247"/>
      <c r="FS128" s="247"/>
      <c r="FT128" s="247"/>
      <c r="FU128" s="247"/>
      <c r="FV128" s="247"/>
      <c r="FW128" s="247"/>
      <c r="FX128" s="247"/>
      <c r="FY128" s="247"/>
      <c r="FZ128" s="247"/>
      <c r="GA128" s="247"/>
      <c r="GB128" s="247"/>
      <c r="GC128" s="247"/>
      <c r="GD128" s="247"/>
      <c r="GE128" s="247"/>
      <c r="GF128" s="247"/>
      <c r="GG128" s="247"/>
      <c r="GH128" s="247"/>
      <c r="GI128" s="247"/>
      <c r="GJ128" s="247"/>
      <c r="GK128" s="247"/>
      <c r="GL128" s="247"/>
      <c r="GM128" s="247"/>
      <c r="GN128" s="247"/>
      <c r="GO128" s="247"/>
      <c r="GP128" s="247"/>
      <c r="GQ128" s="247"/>
      <c r="GR128" s="247"/>
      <c r="GS128" s="247"/>
      <c r="GT128" s="247"/>
      <c r="GU128" s="247"/>
      <c r="GV128" s="247"/>
      <c r="GW128" s="247"/>
      <c r="GX128" s="247"/>
      <c r="GY128" s="247"/>
      <c r="GZ128" s="247"/>
      <c r="HA128" s="247"/>
      <c r="HB128" s="247"/>
      <c r="HC128" s="247"/>
      <c r="HD128" s="247"/>
      <c r="HE128" s="247"/>
      <c r="HF128" s="247"/>
      <c r="HG128" s="247"/>
      <c r="HH128" s="247"/>
      <c r="HI128" s="247"/>
      <c r="HJ128" s="247"/>
      <c r="HK128" s="247"/>
      <c r="HL128" s="247"/>
      <c r="HM128" s="247"/>
      <c r="HN128" s="247"/>
      <c r="HO128" s="247"/>
      <c r="HP128" s="247"/>
      <c r="HQ128" s="247"/>
      <c r="HR128" s="247"/>
      <c r="HS128" s="247"/>
      <c r="HT128" s="247"/>
      <c r="HU128" s="247"/>
      <c r="HV128" s="247"/>
      <c r="HW128" s="247"/>
      <c r="HX128" s="247"/>
      <c r="HY128" s="247"/>
      <c r="HZ128" s="247"/>
      <c r="IA128" s="247"/>
      <c r="IB128" s="247"/>
      <c r="IC128" s="247"/>
      <c r="ID128" s="247"/>
      <c r="IE128" s="247"/>
      <c r="IF128" s="247"/>
      <c r="IG128" s="247"/>
      <c r="IH128" s="247"/>
      <c r="II128" s="247"/>
      <c r="IJ128" s="247"/>
      <c r="IK128" s="247"/>
      <c r="IL128" s="247"/>
      <c r="IM128" s="247"/>
      <c r="IN128" s="247"/>
    </row>
    <row r="129" spans="1:248" ht="15">
      <c r="A129" s="247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7"/>
      <c r="EL129" s="247"/>
      <c r="EM129" s="247"/>
      <c r="EN129" s="247"/>
      <c r="EO129" s="247"/>
      <c r="EP129" s="247"/>
      <c r="EQ129" s="247"/>
      <c r="ER129" s="247"/>
      <c r="ES129" s="247"/>
      <c r="ET129" s="247"/>
      <c r="EU129" s="247"/>
      <c r="EV129" s="247"/>
      <c r="EW129" s="247"/>
      <c r="EX129" s="247"/>
      <c r="EY129" s="247"/>
      <c r="EZ129" s="247"/>
      <c r="FA129" s="247"/>
      <c r="FB129" s="247"/>
      <c r="FC129" s="247"/>
      <c r="FD129" s="247"/>
      <c r="FE129" s="247"/>
      <c r="FF129" s="247"/>
      <c r="FG129" s="247"/>
      <c r="FH129" s="247"/>
      <c r="FI129" s="247"/>
      <c r="FJ129" s="247"/>
      <c r="FK129" s="247"/>
      <c r="FL129" s="247"/>
      <c r="FM129" s="247"/>
      <c r="FN129" s="247"/>
      <c r="FO129" s="247"/>
      <c r="FP129" s="247"/>
      <c r="FQ129" s="247"/>
      <c r="FR129" s="247"/>
      <c r="FS129" s="247"/>
      <c r="FT129" s="247"/>
      <c r="FU129" s="247"/>
      <c r="FV129" s="247"/>
      <c r="FW129" s="247"/>
      <c r="FX129" s="247"/>
      <c r="FY129" s="247"/>
      <c r="FZ129" s="247"/>
      <c r="GA129" s="247"/>
      <c r="GB129" s="247"/>
      <c r="GC129" s="247"/>
      <c r="GD129" s="247"/>
      <c r="GE129" s="247"/>
      <c r="GF129" s="247"/>
      <c r="GG129" s="247"/>
      <c r="GH129" s="247"/>
      <c r="GI129" s="247"/>
      <c r="GJ129" s="247"/>
      <c r="GK129" s="247"/>
      <c r="GL129" s="247"/>
      <c r="GM129" s="247"/>
      <c r="GN129" s="247"/>
      <c r="GO129" s="247"/>
      <c r="GP129" s="247"/>
      <c r="GQ129" s="247"/>
      <c r="GR129" s="247"/>
      <c r="GS129" s="247"/>
      <c r="GT129" s="247"/>
      <c r="GU129" s="247"/>
      <c r="GV129" s="247"/>
      <c r="GW129" s="247"/>
      <c r="GX129" s="247"/>
      <c r="GY129" s="247"/>
      <c r="GZ129" s="247"/>
      <c r="HA129" s="247"/>
      <c r="HB129" s="247"/>
      <c r="HC129" s="247"/>
      <c r="HD129" s="247"/>
      <c r="HE129" s="247"/>
      <c r="HF129" s="247"/>
      <c r="HG129" s="247"/>
      <c r="HH129" s="247"/>
      <c r="HI129" s="247"/>
      <c r="HJ129" s="247"/>
      <c r="HK129" s="247"/>
      <c r="HL129" s="247"/>
      <c r="HM129" s="247"/>
      <c r="HN129" s="247"/>
      <c r="HO129" s="247"/>
      <c r="HP129" s="247"/>
      <c r="HQ129" s="247"/>
      <c r="HR129" s="247"/>
      <c r="HS129" s="247"/>
      <c r="HT129" s="247"/>
      <c r="HU129" s="247"/>
      <c r="HV129" s="247"/>
      <c r="HW129" s="247"/>
      <c r="HX129" s="247"/>
      <c r="HY129" s="247"/>
      <c r="HZ129" s="247"/>
      <c r="IA129" s="247"/>
      <c r="IB129" s="247"/>
      <c r="IC129" s="247"/>
      <c r="ID129" s="247"/>
      <c r="IE129" s="247"/>
      <c r="IF129" s="247"/>
      <c r="IG129" s="247"/>
      <c r="IH129" s="247"/>
      <c r="II129" s="247"/>
      <c r="IJ129" s="247"/>
      <c r="IK129" s="247"/>
      <c r="IL129" s="247"/>
      <c r="IM129" s="247"/>
      <c r="IN129" s="247"/>
    </row>
    <row r="130" spans="1:248" ht="15">
      <c r="A130" s="247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  <c r="EC130" s="247"/>
      <c r="ED130" s="247"/>
      <c r="EE130" s="247"/>
      <c r="EF130" s="247"/>
      <c r="EG130" s="247"/>
      <c r="EH130" s="247"/>
      <c r="EI130" s="247"/>
      <c r="EJ130" s="247"/>
      <c r="EK130" s="247"/>
      <c r="EL130" s="247"/>
      <c r="EM130" s="247"/>
      <c r="EN130" s="247"/>
      <c r="EO130" s="247"/>
      <c r="EP130" s="247"/>
      <c r="EQ130" s="247"/>
      <c r="ER130" s="247"/>
      <c r="ES130" s="247"/>
      <c r="ET130" s="247"/>
      <c r="EU130" s="247"/>
      <c r="EV130" s="247"/>
      <c r="EW130" s="247"/>
      <c r="EX130" s="247"/>
      <c r="EY130" s="247"/>
      <c r="EZ130" s="247"/>
      <c r="FA130" s="247"/>
      <c r="FB130" s="247"/>
      <c r="FC130" s="247"/>
      <c r="FD130" s="247"/>
      <c r="FE130" s="247"/>
      <c r="FF130" s="247"/>
      <c r="FG130" s="247"/>
      <c r="FH130" s="247"/>
      <c r="FI130" s="247"/>
      <c r="FJ130" s="247"/>
      <c r="FK130" s="247"/>
      <c r="FL130" s="247"/>
      <c r="FM130" s="247"/>
      <c r="FN130" s="247"/>
      <c r="FO130" s="247"/>
      <c r="FP130" s="247"/>
      <c r="FQ130" s="247"/>
      <c r="FR130" s="247"/>
      <c r="FS130" s="247"/>
      <c r="FT130" s="247"/>
      <c r="FU130" s="247"/>
      <c r="FV130" s="247"/>
      <c r="FW130" s="247"/>
      <c r="FX130" s="247"/>
      <c r="FY130" s="247"/>
      <c r="FZ130" s="247"/>
      <c r="GA130" s="247"/>
      <c r="GB130" s="247"/>
      <c r="GC130" s="247"/>
      <c r="GD130" s="247"/>
      <c r="GE130" s="247"/>
      <c r="GF130" s="247"/>
      <c r="GG130" s="247"/>
      <c r="GH130" s="247"/>
      <c r="GI130" s="247"/>
      <c r="GJ130" s="247"/>
      <c r="GK130" s="247"/>
      <c r="GL130" s="247"/>
      <c r="GM130" s="247"/>
      <c r="GN130" s="247"/>
      <c r="GO130" s="247"/>
      <c r="GP130" s="247"/>
      <c r="GQ130" s="247"/>
      <c r="GR130" s="247"/>
      <c r="GS130" s="247"/>
      <c r="GT130" s="247"/>
      <c r="GU130" s="247"/>
      <c r="GV130" s="247"/>
      <c r="GW130" s="247"/>
      <c r="GX130" s="247"/>
      <c r="GY130" s="247"/>
      <c r="GZ130" s="247"/>
      <c r="HA130" s="247"/>
      <c r="HB130" s="247"/>
      <c r="HC130" s="247"/>
      <c r="HD130" s="247"/>
      <c r="HE130" s="247"/>
      <c r="HF130" s="247"/>
      <c r="HG130" s="247"/>
      <c r="HH130" s="247"/>
      <c r="HI130" s="247"/>
      <c r="HJ130" s="247"/>
      <c r="HK130" s="247"/>
      <c r="HL130" s="247"/>
      <c r="HM130" s="247"/>
      <c r="HN130" s="247"/>
      <c r="HO130" s="247"/>
      <c r="HP130" s="247"/>
      <c r="HQ130" s="247"/>
      <c r="HR130" s="247"/>
      <c r="HS130" s="247"/>
      <c r="HT130" s="247"/>
      <c r="HU130" s="247"/>
      <c r="HV130" s="247"/>
      <c r="HW130" s="247"/>
      <c r="HX130" s="247"/>
      <c r="HY130" s="247"/>
      <c r="HZ130" s="247"/>
      <c r="IA130" s="247"/>
      <c r="IB130" s="247"/>
      <c r="IC130" s="247"/>
      <c r="ID130" s="247"/>
      <c r="IE130" s="247"/>
      <c r="IF130" s="247"/>
      <c r="IG130" s="247"/>
      <c r="IH130" s="247"/>
      <c r="II130" s="247"/>
      <c r="IJ130" s="247"/>
      <c r="IK130" s="247"/>
      <c r="IL130" s="247"/>
      <c r="IM130" s="247"/>
      <c r="IN130" s="247"/>
    </row>
    <row r="131" spans="1:248" ht="15">
      <c r="A131" s="247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</row>
    <row r="132" spans="1:248" ht="15">
      <c r="A132" s="247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47"/>
      <c r="EG132" s="247"/>
      <c r="EH132" s="247"/>
      <c r="EI132" s="247"/>
      <c r="EJ132" s="247"/>
      <c r="EK132" s="247"/>
      <c r="EL132" s="247"/>
      <c r="EM132" s="247"/>
      <c r="EN132" s="247"/>
      <c r="EO132" s="247"/>
      <c r="EP132" s="247"/>
      <c r="EQ132" s="247"/>
      <c r="ER132" s="247"/>
      <c r="ES132" s="247"/>
      <c r="ET132" s="247"/>
      <c r="EU132" s="247"/>
      <c r="EV132" s="247"/>
      <c r="EW132" s="247"/>
      <c r="EX132" s="247"/>
      <c r="EY132" s="247"/>
      <c r="EZ132" s="247"/>
      <c r="FA132" s="247"/>
      <c r="FB132" s="247"/>
      <c r="FC132" s="247"/>
      <c r="FD132" s="247"/>
      <c r="FE132" s="247"/>
      <c r="FF132" s="247"/>
      <c r="FG132" s="247"/>
      <c r="FH132" s="247"/>
      <c r="FI132" s="247"/>
      <c r="FJ132" s="247"/>
      <c r="FK132" s="247"/>
      <c r="FL132" s="247"/>
      <c r="FM132" s="247"/>
      <c r="FN132" s="247"/>
      <c r="FO132" s="247"/>
      <c r="FP132" s="247"/>
      <c r="FQ132" s="247"/>
      <c r="FR132" s="247"/>
      <c r="FS132" s="247"/>
      <c r="FT132" s="247"/>
      <c r="FU132" s="247"/>
      <c r="FV132" s="247"/>
      <c r="FW132" s="247"/>
      <c r="FX132" s="247"/>
      <c r="FY132" s="247"/>
      <c r="FZ132" s="247"/>
      <c r="GA132" s="247"/>
      <c r="GB132" s="247"/>
      <c r="GC132" s="247"/>
      <c r="GD132" s="247"/>
      <c r="GE132" s="247"/>
      <c r="GF132" s="247"/>
      <c r="GG132" s="247"/>
      <c r="GH132" s="247"/>
      <c r="GI132" s="247"/>
      <c r="GJ132" s="247"/>
      <c r="GK132" s="247"/>
      <c r="GL132" s="247"/>
      <c r="GM132" s="247"/>
      <c r="GN132" s="247"/>
      <c r="GO132" s="247"/>
      <c r="GP132" s="247"/>
      <c r="GQ132" s="247"/>
      <c r="GR132" s="247"/>
      <c r="GS132" s="247"/>
      <c r="GT132" s="247"/>
      <c r="GU132" s="247"/>
      <c r="GV132" s="247"/>
      <c r="GW132" s="247"/>
      <c r="GX132" s="247"/>
      <c r="GY132" s="247"/>
      <c r="GZ132" s="247"/>
      <c r="HA132" s="247"/>
      <c r="HB132" s="247"/>
      <c r="HC132" s="247"/>
      <c r="HD132" s="247"/>
      <c r="HE132" s="247"/>
      <c r="HF132" s="247"/>
      <c r="HG132" s="247"/>
      <c r="HH132" s="247"/>
      <c r="HI132" s="247"/>
      <c r="HJ132" s="247"/>
      <c r="HK132" s="247"/>
      <c r="HL132" s="247"/>
      <c r="HM132" s="247"/>
      <c r="HN132" s="247"/>
      <c r="HO132" s="247"/>
      <c r="HP132" s="247"/>
      <c r="HQ132" s="247"/>
      <c r="HR132" s="247"/>
      <c r="HS132" s="247"/>
      <c r="HT132" s="247"/>
      <c r="HU132" s="247"/>
      <c r="HV132" s="247"/>
      <c r="HW132" s="247"/>
      <c r="HX132" s="247"/>
      <c r="HY132" s="247"/>
      <c r="HZ132" s="247"/>
      <c r="IA132" s="247"/>
      <c r="IB132" s="247"/>
      <c r="IC132" s="247"/>
      <c r="ID132" s="247"/>
      <c r="IE132" s="247"/>
      <c r="IF132" s="247"/>
      <c r="IG132" s="247"/>
      <c r="IH132" s="247"/>
      <c r="II132" s="247"/>
      <c r="IJ132" s="247"/>
      <c r="IK132" s="247"/>
      <c r="IL132" s="247"/>
      <c r="IM132" s="247"/>
      <c r="IN132" s="247"/>
    </row>
    <row r="133" spans="1:248" ht="15">
      <c r="A133" s="247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  <c r="ER133" s="247"/>
      <c r="ES133" s="247"/>
      <c r="ET133" s="247"/>
      <c r="EU133" s="247"/>
      <c r="EV133" s="247"/>
      <c r="EW133" s="247"/>
      <c r="EX133" s="247"/>
      <c r="EY133" s="247"/>
      <c r="EZ133" s="247"/>
      <c r="FA133" s="247"/>
      <c r="FB133" s="247"/>
      <c r="FC133" s="247"/>
      <c r="FD133" s="247"/>
      <c r="FE133" s="247"/>
      <c r="FF133" s="247"/>
      <c r="FG133" s="247"/>
      <c r="FH133" s="247"/>
      <c r="FI133" s="247"/>
      <c r="FJ133" s="247"/>
      <c r="FK133" s="247"/>
      <c r="FL133" s="247"/>
      <c r="FM133" s="247"/>
      <c r="FN133" s="247"/>
      <c r="FO133" s="247"/>
      <c r="FP133" s="247"/>
      <c r="FQ133" s="247"/>
      <c r="FR133" s="247"/>
      <c r="FS133" s="247"/>
      <c r="FT133" s="247"/>
      <c r="FU133" s="247"/>
      <c r="FV133" s="247"/>
      <c r="FW133" s="247"/>
      <c r="FX133" s="247"/>
      <c r="FY133" s="247"/>
      <c r="FZ133" s="247"/>
      <c r="GA133" s="247"/>
      <c r="GB133" s="247"/>
      <c r="GC133" s="247"/>
      <c r="GD133" s="247"/>
      <c r="GE133" s="247"/>
      <c r="GF133" s="247"/>
      <c r="GG133" s="247"/>
      <c r="GH133" s="247"/>
      <c r="GI133" s="247"/>
      <c r="GJ133" s="247"/>
      <c r="GK133" s="247"/>
      <c r="GL133" s="247"/>
      <c r="GM133" s="247"/>
      <c r="GN133" s="247"/>
      <c r="GO133" s="247"/>
      <c r="GP133" s="247"/>
      <c r="GQ133" s="247"/>
      <c r="GR133" s="247"/>
      <c r="GS133" s="247"/>
      <c r="GT133" s="247"/>
      <c r="GU133" s="247"/>
      <c r="GV133" s="247"/>
      <c r="GW133" s="247"/>
      <c r="GX133" s="247"/>
      <c r="GY133" s="247"/>
      <c r="GZ133" s="247"/>
      <c r="HA133" s="247"/>
      <c r="HB133" s="247"/>
      <c r="HC133" s="247"/>
      <c r="HD133" s="247"/>
      <c r="HE133" s="247"/>
      <c r="HF133" s="247"/>
      <c r="HG133" s="247"/>
      <c r="HH133" s="247"/>
      <c r="HI133" s="247"/>
      <c r="HJ133" s="247"/>
      <c r="HK133" s="247"/>
      <c r="HL133" s="247"/>
      <c r="HM133" s="247"/>
      <c r="HN133" s="247"/>
      <c r="HO133" s="247"/>
      <c r="HP133" s="247"/>
      <c r="HQ133" s="247"/>
      <c r="HR133" s="247"/>
      <c r="HS133" s="247"/>
      <c r="HT133" s="247"/>
      <c r="HU133" s="247"/>
      <c r="HV133" s="247"/>
      <c r="HW133" s="247"/>
      <c r="HX133" s="247"/>
      <c r="HY133" s="247"/>
      <c r="HZ133" s="247"/>
      <c r="IA133" s="247"/>
      <c r="IB133" s="247"/>
      <c r="IC133" s="247"/>
      <c r="ID133" s="247"/>
      <c r="IE133" s="247"/>
      <c r="IF133" s="247"/>
      <c r="IG133" s="247"/>
      <c r="IH133" s="247"/>
      <c r="II133" s="247"/>
      <c r="IJ133" s="247"/>
      <c r="IK133" s="247"/>
      <c r="IL133" s="247"/>
      <c r="IM133" s="247"/>
      <c r="IN133" s="247"/>
    </row>
    <row r="134" spans="1:248" ht="15">
      <c r="A134" s="247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  <c r="EC134" s="247"/>
      <c r="ED134" s="247"/>
      <c r="EE134" s="247"/>
      <c r="EF134" s="247"/>
      <c r="EG134" s="247"/>
      <c r="EH134" s="247"/>
      <c r="EI134" s="247"/>
      <c r="EJ134" s="247"/>
      <c r="EK134" s="247"/>
      <c r="EL134" s="247"/>
      <c r="EM134" s="247"/>
      <c r="EN134" s="247"/>
      <c r="EO134" s="247"/>
      <c r="EP134" s="247"/>
      <c r="EQ134" s="247"/>
      <c r="ER134" s="247"/>
      <c r="ES134" s="247"/>
      <c r="ET134" s="247"/>
      <c r="EU134" s="247"/>
      <c r="EV134" s="247"/>
      <c r="EW134" s="247"/>
      <c r="EX134" s="247"/>
      <c r="EY134" s="247"/>
      <c r="EZ134" s="247"/>
      <c r="FA134" s="247"/>
      <c r="FB134" s="247"/>
      <c r="FC134" s="247"/>
      <c r="FD134" s="247"/>
      <c r="FE134" s="247"/>
      <c r="FF134" s="247"/>
      <c r="FG134" s="247"/>
      <c r="FH134" s="247"/>
      <c r="FI134" s="247"/>
      <c r="FJ134" s="247"/>
      <c r="FK134" s="247"/>
      <c r="FL134" s="247"/>
      <c r="FM134" s="247"/>
      <c r="FN134" s="247"/>
      <c r="FO134" s="247"/>
      <c r="FP134" s="247"/>
      <c r="FQ134" s="247"/>
      <c r="FR134" s="247"/>
      <c r="FS134" s="247"/>
      <c r="FT134" s="247"/>
      <c r="FU134" s="247"/>
      <c r="FV134" s="247"/>
      <c r="FW134" s="247"/>
      <c r="FX134" s="247"/>
      <c r="FY134" s="247"/>
      <c r="FZ134" s="247"/>
      <c r="GA134" s="247"/>
      <c r="GB134" s="247"/>
      <c r="GC134" s="247"/>
      <c r="GD134" s="247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  <c r="GO134" s="247"/>
      <c r="GP134" s="247"/>
      <c r="GQ134" s="247"/>
      <c r="GR134" s="247"/>
      <c r="GS134" s="247"/>
      <c r="GT134" s="247"/>
      <c r="GU134" s="247"/>
      <c r="GV134" s="247"/>
      <c r="GW134" s="247"/>
      <c r="GX134" s="247"/>
      <c r="GY134" s="247"/>
      <c r="GZ134" s="247"/>
      <c r="HA134" s="247"/>
      <c r="HB134" s="247"/>
      <c r="HC134" s="247"/>
      <c r="HD134" s="247"/>
      <c r="HE134" s="247"/>
      <c r="HF134" s="247"/>
      <c r="HG134" s="247"/>
      <c r="HH134" s="247"/>
      <c r="HI134" s="247"/>
      <c r="HJ134" s="247"/>
      <c r="HK134" s="247"/>
      <c r="HL134" s="247"/>
      <c r="HM134" s="247"/>
      <c r="HN134" s="247"/>
      <c r="HO134" s="247"/>
      <c r="HP134" s="247"/>
      <c r="HQ134" s="247"/>
      <c r="HR134" s="247"/>
      <c r="HS134" s="247"/>
      <c r="HT134" s="247"/>
      <c r="HU134" s="247"/>
      <c r="HV134" s="247"/>
      <c r="HW134" s="247"/>
      <c r="HX134" s="247"/>
      <c r="HY134" s="247"/>
      <c r="HZ134" s="247"/>
      <c r="IA134" s="247"/>
      <c r="IB134" s="247"/>
      <c r="IC134" s="247"/>
      <c r="ID134" s="247"/>
      <c r="IE134" s="247"/>
      <c r="IF134" s="247"/>
      <c r="IG134" s="247"/>
      <c r="IH134" s="247"/>
      <c r="II134" s="247"/>
      <c r="IJ134" s="247"/>
      <c r="IK134" s="247"/>
      <c r="IL134" s="247"/>
      <c r="IM134" s="247"/>
      <c r="IN134" s="247"/>
    </row>
    <row r="135" spans="1:248" ht="15">
      <c r="A135" s="247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  <c r="BQ135" s="247"/>
      <c r="BR135" s="247"/>
      <c r="BS135" s="247"/>
      <c r="BT135" s="247"/>
      <c r="BU135" s="247"/>
      <c r="BV135" s="247"/>
      <c r="BW135" s="247"/>
      <c r="BX135" s="247"/>
      <c r="BY135" s="247"/>
      <c r="BZ135" s="247"/>
      <c r="CA135" s="247"/>
      <c r="CB135" s="247"/>
      <c r="CC135" s="247"/>
      <c r="CD135" s="247"/>
      <c r="CE135" s="247"/>
      <c r="CF135" s="247"/>
      <c r="CG135" s="247"/>
      <c r="CH135" s="247"/>
      <c r="CI135" s="247"/>
      <c r="CJ135" s="247"/>
      <c r="CK135" s="247"/>
      <c r="CL135" s="247"/>
      <c r="CM135" s="247"/>
      <c r="CN135" s="247"/>
      <c r="CO135" s="247"/>
      <c r="CP135" s="247"/>
      <c r="CQ135" s="247"/>
      <c r="CR135" s="247"/>
      <c r="CS135" s="247"/>
      <c r="CT135" s="247"/>
      <c r="CU135" s="247"/>
      <c r="CV135" s="247"/>
      <c r="CW135" s="247"/>
      <c r="CX135" s="247"/>
      <c r="CY135" s="247"/>
      <c r="CZ135" s="247"/>
      <c r="DA135" s="247"/>
      <c r="DB135" s="247"/>
      <c r="DC135" s="247"/>
      <c r="DD135" s="247"/>
      <c r="DE135" s="247"/>
      <c r="DF135" s="247"/>
      <c r="DG135" s="247"/>
      <c r="DH135" s="247"/>
      <c r="DI135" s="247"/>
      <c r="DJ135" s="247"/>
      <c r="DK135" s="247"/>
      <c r="DL135" s="247"/>
      <c r="DM135" s="247"/>
      <c r="DN135" s="247"/>
      <c r="DO135" s="247"/>
      <c r="DP135" s="247"/>
      <c r="DQ135" s="247"/>
      <c r="DR135" s="247"/>
      <c r="DS135" s="247"/>
      <c r="DT135" s="247"/>
      <c r="DU135" s="247"/>
      <c r="DV135" s="247"/>
      <c r="DW135" s="247"/>
      <c r="DX135" s="247"/>
      <c r="DY135" s="247"/>
      <c r="DZ135" s="247"/>
      <c r="EA135" s="247"/>
      <c r="EB135" s="247"/>
      <c r="EC135" s="247"/>
      <c r="ED135" s="247"/>
      <c r="EE135" s="247"/>
      <c r="EF135" s="247"/>
      <c r="EG135" s="247"/>
      <c r="EH135" s="247"/>
      <c r="EI135" s="247"/>
      <c r="EJ135" s="247"/>
      <c r="EK135" s="247"/>
      <c r="EL135" s="247"/>
      <c r="EM135" s="247"/>
      <c r="EN135" s="247"/>
      <c r="EO135" s="247"/>
      <c r="EP135" s="247"/>
      <c r="EQ135" s="247"/>
      <c r="ER135" s="247"/>
      <c r="ES135" s="247"/>
      <c r="ET135" s="247"/>
      <c r="EU135" s="247"/>
      <c r="EV135" s="247"/>
      <c r="EW135" s="247"/>
      <c r="EX135" s="247"/>
      <c r="EY135" s="247"/>
      <c r="EZ135" s="247"/>
      <c r="FA135" s="247"/>
      <c r="FB135" s="247"/>
      <c r="FC135" s="247"/>
      <c r="FD135" s="247"/>
      <c r="FE135" s="247"/>
      <c r="FF135" s="247"/>
      <c r="FG135" s="247"/>
      <c r="FH135" s="247"/>
      <c r="FI135" s="247"/>
      <c r="FJ135" s="247"/>
      <c r="FK135" s="247"/>
      <c r="FL135" s="247"/>
      <c r="FM135" s="247"/>
      <c r="FN135" s="247"/>
      <c r="FO135" s="247"/>
      <c r="FP135" s="247"/>
      <c r="FQ135" s="247"/>
      <c r="FR135" s="247"/>
      <c r="FS135" s="247"/>
      <c r="FT135" s="247"/>
      <c r="FU135" s="247"/>
      <c r="FV135" s="247"/>
      <c r="FW135" s="247"/>
      <c r="FX135" s="247"/>
      <c r="FY135" s="247"/>
      <c r="FZ135" s="247"/>
      <c r="GA135" s="247"/>
      <c r="GB135" s="247"/>
      <c r="GC135" s="247"/>
      <c r="GD135" s="247"/>
      <c r="GE135" s="247"/>
      <c r="GF135" s="247"/>
      <c r="GG135" s="247"/>
      <c r="GH135" s="247"/>
      <c r="GI135" s="247"/>
      <c r="GJ135" s="247"/>
      <c r="GK135" s="247"/>
      <c r="GL135" s="247"/>
      <c r="GM135" s="247"/>
      <c r="GN135" s="247"/>
      <c r="GO135" s="247"/>
      <c r="GP135" s="247"/>
      <c r="GQ135" s="247"/>
      <c r="GR135" s="247"/>
      <c r="GS135" s="247"/>
      <c r="GT135" s="247"/>
      <c r="GU135" s="247"/>
      <c r="GV135" s="247"/>
      <c r="GW135" s="247"/>
      <c r="GX135" s="247"/>
      <c r="GY135" s="247"/>
      <c r="GZ135" s="247"/>
      <c r="HA135" s="247"/>
      <c r="HB135" s="247"/>
      <c r="HC135" s="247"/>
      <c r="HD135" s="247"/>
      <c r="HE135" s="247"/>
      <c r="HF135" s="247"/>
      <c r="HG135" s="247"/>
      <c r="HH135" s="247"/>
      <c r="HI135" s="247"/>
      <c r="HJ135" s="247"/>
      <c r="HK135" s="247"/>
      <c r="HL135" s="247"/>
      <c r="HM135" s="247"/>
      <c r="HN135" s="247"/>
      <c r="HO135" s="247"/>
      <c r="HP135" s="247"/>
      <c r="HQ135" s="247"/>
      <c r="HR135" s="247"/>
      <c r="HS135" s="247"/>
      <c r="HT135" s="247"/>
      <c r="HU135" s="247"/>
      <c r="HV135" s="247"/>
      <c r="HW135" s="247"/>
      <c r="HX135" s="247"/>
      <c r="HY135" s="247"/>
      <c r="HZ135" s="247"/>
      <c r="IA135" s="247"/>
      <c r="IB135" s="247"/>
      <c r="IC135" s="247"/>
      <c r="ID135" s="247"/>
      <c r="IE135" s="247"/>
      <c r="IF135" s="247"/>
      <c r="IG135" s="247"/>
      <c r="IH135" s="247"/>
      <c r="II135" s="247"/>
      <c r="IJ135" s="247"/>
      <c r="IK135" s="247"/>
      <c r="IL135" s="247"/>
      <c r="IM135" s="247"/>
      <c r="IN135" s="247"/>
    </row>
    <row r="136" spans="1:248" ht="15">
      <c r="A136" s="247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W136" s="247"/>
      <c r="BX136" s="247"/>
      <c r="BY136" s="247"/>
      <c r="BZ136" s="247"/>
      <c r="CA136" s="247"/>
      <c r="CB136" s="247"/>
      <c r="CC136" s="247"/>
      <c r="CD136" s="247"/>
      <c r="CE136" s="247"/>
      <c r="CF136" s="247"/>
      <c r="CG136" s="247"/>
      <c r="CH136" s="247"/>
      <c r="CI136" s="247"/>
      <c r="CJ136" s="247"/>
      <c r="CK136" s="247"/>
      <c r="CL136" s="247"/>
      <c r="CM136" s="247"/>
      <c r="CN136" s="247"/>
      <c r="CO136" s="247"/>
      <c r="CP136" s="247"/>
      <c r="CQ136" s="247"/>
      <c r="CR136" s="247"/>
      <c r="CS136" s="247"/>
      <c r="CT136" s="247"/>
      <c r="CU136" s="247"/>
      <c r="CV136" s="247"/>
      <c r="CW136" s="247"/>
      <c r="CX136" s="247"/>
      <c r="CY136" s="247"/>
      <c r="CZ136" s="247"/>
      <c r="DA136" s="247"/>
      <c r="DB136" s="247"/>
      <c r="DC136" s="247"/>
      <c r="DD136" s="247"/>
      <c r="DE136" s="247"/>
      <c r="DF136" s="247"/>
      <c r="DG136" s="247"/>
      <c r="DH136" s="247"/>
      <c r="DI136" s="247"/>
      <c r="DJ136" s="247"/>
      <c r="DK136" s="247"/>
      <c r="DL136" s="247"/>
      <c r="DM136" s="247"/>
      <c r="DN136" s="247"/>
      <c r="DO136" s="247"/>
      <c r="DP136" s="247"/>
      <c r="DQ136" s="247"/>
      <c r="DR136" s="247"/>
      <c r="DS136" s="247"/>
      <c r="DT136" s="247"/>
      <c r="DU136" s="247"/>
      <c r="DV136" s="247"/>
      <c r="DW136" s="247"/>
      <c r="DX136" s="247"/>
      <c r="DY136" s="247"/>
      <c r="DZ136" s="247"/>
      <c r="EA136" s="247"/>
      <c r="EB136" s="247"/>
      <c r="EC136" s="247"/>
      <c r="ED136" s="247"/>
      <c r="EE136" s="247"/>
      <c r="EF136" s="247"/>
      <c r="EG136" s="247"/>
      <c r="EH136" s="247"/>
      <c r="EI136" s="247"/>
      <c r="EJ136" s="247"/>
      <c r="EK136" s="247"/>
      <c r="EL136" s="247"/>
      <c r="EM136" s="247"/>
      <c r="EN136" s="247"/>
      <c r="EO136" s="247"/>
      <c r="EP136" s="247"/>
      <c r="EQ136" s="247"/>
      <c r="ER136" s="247"/>
      <c r="ES136" s="247"/>
      <c r="ET136" s="247"/>
      <c r="EU136" s="247"/>
      <c r="EV136" s="247"/>
      <c r="EW136" s="247"/>
      <c r="EX136" s="247"/>
      <c r="EY136" s="247"/>
      <c r="EZ136" s="247"/>
      <c r="FA136" s="247"/>
      <c r="FB136" s="247"/>
      <c r="FC136" s="247"/>
      <c r="FD136" s="247"/>
      <c r="FE136" s="247"/>
      <c r="FF136" s="247"/>
      <c r="FG136" s="247"/>
      <c r="FH136" s="247"/>
      <c r="FI136" s="247"/>
      <c r="FJ136" s="247"/>
      <c r="FK136" s="247"/>
      <c r="FL136" s="247"/>
      <c r="FM136" s="247"/>
      <c r="FN136" s="247"/>
      <c r="FO136" s="247"/>
      <c r="FP136" s="247"/>
      <c r="FQ136" s="247"/>
      <c r="FR136" s="247"/>
      <c r="FS136" s="247"/>
      <c r="FT136" s="247"/>
      <c r="FU136" s="247"/>
      <c r="FV136" s="247"/>
      <c r="FW136" s="247"/>
      <c r="FX136" s="247"/>
      <c r="FY136" s="247"/>
      <c r="FZ136" s="247"/>
      <c r="GA136" s="247"/>
      <c r="GB136" s="247"/>
      <c r="GC136" s="247"/>
      <c r="GD136" s="247"/>
      <c r="GE136" s="247"/>
      <c r="GF136" s="247"/>
      <c r="GG136" s="247"/>
      <c r="GH136" s="247"/>
      <c r="GI136" s="247"/>
      <c r="GJ136" s="247"/>
      <c r="GK136" s="247"/>
      <c r="GL136" s="247"/>
      <c r="GM136" s="247"/>
      <c r="GN136" s="247"/>
      <c r="GO136" s="247"/>
      <c r="GP136" s="247"/>
      <c r="GQ136" s="247"/>
      <c r="GR136" s="247"/>
      <c r="GS136" s="247"/>
      <c r="GT136" s="247"/>
      <c r="GU136" s="247"/>
      <c r="GV136" s="247"/>
      <c r="GW136" s="247"/>
      <c r="GX136" s="247"/>
      <c r="GY136" s="247"/>
      <c r="GZ136" s="247"/>
      <c r="HA136" s="247"/>
      <c r="HB136" s="247"/>
      <c r="HC136" s="247"/>
      <c r="HD136" s="247"/>
      <c r="HE136" s="247"/>
      <c r="HF136" s="247"/>
      <c r="HG136" s="247"/>
      <c r="HH136" s="247"/>
      <c r="HI136" s="247"/>
      <c r="HJ136" s="247"/>
      <c r="HK136" s="247"/>
      <c r="HL136" s="247"/>
      <c r="HM136" s="247"/>
      <c r="HN136" s="247"/>
      <c r="HO136" s="247"/>
      <c r="HP136" s="247"/>
      <c r="HQ136" s="247"/>
      <c r="HR136" s="247"/>
      <c r="HS136" s="247"/>
      <c r="HT136" s="247"/>
      <c r="HU136" s="247"/>
      <c r="HV136" s="247"/>
      <c r="HW136" s="247"/>
      <c r="HX136" s="247"/>
      <c r="HY136" s="247"/>
      <c r="HZ136" s="247"/>
      <c r="IA136" s="247"/>
      <c r="IB136" s="247"/>
      <c r="IC136" s="247"/>
      <c r="ID136" s="247"/>
      <c r="IE136" s="247"/>
      <c r="IF136" s="247"/>
      <c r="IG136" s="247"/>
      <c r="IH136" s="247"/>
      <c r="II136" s="247"/>
      <c r="IJ136" s="247"/>
      <c r="IK136" s="247"/>
      <c r="IL136" s="247"/>
      <c r="IM136" s="247"/>
      <c r="IN136" s="247"/>
    </row>
    <row r="137" spans="1:248" ht="15">
      <c r="A137" s="247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7"/>
      <c r="BC137" s="247"/>
      <c r="BD137" s="247"/>
      <c r="BE137" s="247"/>
      <c r="BF137" s="247"/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  <c r="BQ137" s="247"/>
      <c r="BR137" s="247"/>
      <c r="BS137" s="247"/>
      <c r="BT137" s="247"/>
      <c r="BU137" s="247"/>
      <c r="BV137" s="247"/>
      <c r="BW137" s="247"/>
      <c r="BX137" s="247"/>
      <c r="BY137" s="247"/>
      <c r="BZ137" s="247"/>
      <c r="CA137" s="247"/>
      <c r="CB137" s="247"/>
      <c r="CC137" s="247"/>
      <c r="CD137" s="247"/>
      <c r="CE137" s="247"/>
      <c r="CF137" s="247"/>
      <c r="CG137" s="247"/>
      <c r="CH137" s="247"/>
      <c r="CI137" s="247"/>
      <c r="CJ137" s="247"/>
      <c r="CK137" s="247"/>
      <c r="CL137" s="247"/>
      <c r="CM137" s="247"/>
      <c r="CN137" s="247"/>
      <c r="CO137" s="247"/>
      <c r="CP137" s="247"/>
      <c r="CQ137" s="247"/>
      <c r="CR137" s="247"/>
      <c r="CS137" s="247"/>
      <c r="CT137" s="247"/>
      <c r="CU137" s="247"/>
      <c r="CV137" s="247"/>
      <c r="CW137" s="247"/>
      <c r="CX137" s="247"/>
      <c r="CY137" s="247"/>
      <c r="CZ137" s="247"/>
      <c r="DA137" s="247"/>
      <c r="DB137" s="247"/>
      <c r="DC137" s="247"/>
      <c r="DD137" s="247"/>
      <c r="DE137" s="247"/>
      <c r="DF137" s="247"/>
      <c r="DG137" s="247"/>
      <c r="DH137" s="247"/>
      <c r="DI137" s="247"/>
      <c r="DJ137" s="247"/>
      <c r="DK137" s="247"/>
      <c r="DL137" s="247"/>
      <c r="DM137" s="247"/>
      <c r="DN137" s="247"/>
      <c r="DO137" s="247"/>
      <c r="DP137" s="247"/>
      <c r="DQ137" s="247"/>
      <c r="DR137" s="247"/>
      <c r="DS137" s="247"/>
      <c r="DT137" s="247"/>
      <c r="DU137" s="247"/>
      <c r="DV137" s="247"/>
      <c r="DW137" s="247"/>
      <c r="DX137" s="247"/>
      <c r="DY137" s="247"/>
      <c r="DZ137" s="247"/>
      <c r="EA137" s="247"/>
      <c r="EB137" s="247"/>
      <c r="EC137" s="247"/>
      <c r="ED137" s="247"/>
      <c r="EE137" s="247"/>
      <c r="EF137" s="247"/>
      <c r="EG137" s="247"/>
      <c r="EH137" s="247"/>
      <c r="EI137" s="247"/>
      <c r="EJ137" s="247"/>
      <c r="EK137" s="247"/>
      <c r="EL137" s="247"/>
      <c r="EM137" s="247"/>
      <c r="EN137" s="247"/>
      <c r="EO137" s="247"/>
      <c r="EP137" s="247"/>
      <c r="EQ137" s="247"/>
      <c r="ER137" s="247"/>
      <c r="ES137" s="247"/>
      <c r="ET137" s="247"/>
      <c r="EU137" s="247"/>
      <c r="EV137" s="247"/>
      <c r="EW137" s="247"/>
      <c r="EX137" s="247"/>
      <c r="EY137" s="247"/>
      <c r="EZ137" s="247"/>
      <c r="FA137" s="247"/>
      <c r="FB137" s="247"/>
      <c r="FC137" s="247"/>
      <c r="FD137" s="247"/>
      <c r="FE137" s="247"/>
      <c r="FF137" s="247"/>
      <c r="FG137" s="247"/>
      <c r="FH137" s="247"/>
      <c r="FI137" s="247"/>
      <c r="FJ137" s="247"/>
      <c r="FK137" s="247"/>
      <c r="FL137" s="247"/>
      <c r="FM137" s="247"/>
      <c r="FN137" s="247"/>
      <c r="FO137" s="247"/>
      <c r="FP137" s="247"/>
      <c r="FQ137" s="247"/>
      <c r="FR137" s="247"/>
      <c r="FS137" s="247"/>
      <c r="FT137" s="247"/>
      <c r="FU137" s="247"/>
      <c r="FV137" s="247"/>
      <c r="FW137" s="247"/>
      <c r="FX137" s="247"/>
      <c r="FY137" s="247"/>
      <c r="FZ137" s="247"/>
      <c r="GA137" s="247"/>
      <c r="GB137" s="247"/>
      <c r="GC137" s="247"/>
      <c r="GD137" s="247"/>
      <c r="GE137" s="247"/>
      <c r="GF137" s="247"/>
      <c r="GG137" s="247"/>
      <c r="GH137" s="247"/>
      <c r="GI137" s="247"/>
      <c r="GJ137" s="247"/>
      <c r="GK137" s="247"/>
      <c r="GL137" s="247"/>
      <c r="GM137" s="247"/>
      <c r="GN137" s="247"/>
      <c r="GO137" s="247"/>
      <c r="GP137" s="247"/>
      <c r="GQ137" s="247"/>
      <c r="GR137" s="247"/>
      <c r="GS137" s="247"/>
      <c r="GT137" s="247"/>
      <c r="GU137" s="247"/>
      <c r="GV137" s="247"/>
      <c r="GW137" s="247"/>
      <c r="GX137" s="247"/>
      <c r="GY137" s="247"/>
      <c r="GZ137" s="247"/>
      <c r="HA137" s="247"/>
      <c r="HB137" s="247"/>
      <c r="HC137" s="247"/>
      <c r="HD137" s="247"/>
      <c r="HE137" s="247"/>
      <c r="HF137" s="247"/>
      <c r="HG137" s="247"/>
      <c r="HH137" s="247"/>
      <c r="HI137" s="247"/>
      <c r="HJ137" s="247"/>
      <c r="HK137" s="247"/>
      <c r="HL137" s="247"/>
      <c r="HM137" s="247"/>
      <c r="HN137" s="247"/>
      <c r="HO137" s="247"/>
      <c r="HP137" s="247"/>
      <c r="HQ137" s="247"/>
      <c r="HR137" s="247"/>
      <c r="HS137" s="247"/>
      <c r="HT137" s="247"/>
      <c r="HU137" s="247"/>
      <c r="HV137" s="247"/>
      <c r="HW137" s="247"/>
      <c r="HX137" s="247"/>
      <c r="HY137" s="247"/>
      <c r="HZ137" s="247"/>
      <c r="IA137" s="247"/>
      <c r="IB137" s="247"/>
      <c r="IC137" s="247"/>
      <c r="ID137" s="247"/>
      <c r="IE137" s="247"/>
      <c r="IF137" s="247"/>
      <c r="IG137" s="247"/>
      <c r="IH137" s="247"/>
      <c r="II137" s="247"/>
      <c r="IJ137" s="247"/>
      <c r="IK137" s="247"/>
      <c r="IL137" s="247"/>
      <c r="IM137" s="247"/>
      <c r="IN137" s="247"/>
    </row>
    <row r="138" spans="1:248" ht="15">
      <c r="A138" s="247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/>
      <c r="BO138" s="247"/>
      <c r="BP138" s="247"/>
      <c r="BQ138" s="247"/>
      <c r="BR138" s="247"/>
      <c r="BS138" s="247"/>
      <c r="BT138" s="247"/>
      <c r="BU138" s="247"/>
      <c r="BV138" s="247"/>
      <c r="BW138" s="247"/>
      <c r="BX138" s="247"/>
      <c r="BY138" s="247"/>
      <c r="BZ138" s="247"/>
      <c r="CA138" s="247"/>
      <c r="CB138" s="247"/>
      <c r="CC138" s="247"/>
      <c r="CD138" s="247"/>
      <c r="CE138" s="247"/>
      <c r="CF138" s="247"/>
      <c r="CG138" s="247"/>
      <c r="CH138" s="247"/>
      <c r="CI138" s="247"/>
      <c r="CJ138" s="247"/>
      <c r="CK138" s="247"/>
      <c r="CL138" s="247"/>
      <c r="CM138" s="247"/>
      <c r="CN138" s="247"/>
      <c r="CO138" s="247"/>
      <c r="CP138" s="247"/>
      <c r="CQ138" s="247"/>
      <c r="CR138" s="247"/>
      <c r="CS138" s="247"/>
      <c r="CT138" s="247"/>
      <c r="CU138" s="247"/>
      <c r="CV138" s="247"/>
      <c r="CW138" s="247"/>
      <c r="CX138" s="247"/>
      <c r="CY138" s="247"/>
      <c r="CZ138" s="247"/>
      <c r="DA138" s="247"/>
      <c r="DB138" s="247"/>
      <c r="DC138" s="247"/>
      <c r="DD138" s="247"/>
      <c r="DE138" s="247"/>
      <c r="DF138" s="247"/>
      <c r="DG138" s="247"/>
      <c r="DH138" s="247"/>
      <c r="DI138" s="247"/>
      <c r="DJ138" s="247"/>
      <c r="DK138" s="247"/>
      <c r="DL138" s="247"/>
      <c r="DM138" s="247"/>
      <c r="DN138" s="247"/>
      <c r="DO138" s="247"/>
      <c r="DP138" s="247"/>
      <c r="DQ138" s="247"/>
      <c r="DR138" s="247"/>
      <c r="DS138" s="247"/>
      <c r="DT138" s="247"/>
      <c r="DU138" s="247"/>
      <c r="DV138" s="247"/>
      <c r="DW138" s="247"/>
      <c r="DX138" s="247"/>
      <c r="DY138" s="247"/>
      <c r="DZ138" s="247"/>
      <c r="EA138" s="247"/>
      <c r="EB138" s="247"/>
      <c r="EC138" s="247"/>
      <c r="ED138" s="247"/>
      <c r="EE138" s="247"/>
      <c r="EF138" s="247"/>
      <c r="EG138" s="247"/>
      <c r="EH138" s="247"/>
      <c r="EI138" s="247"/>
      <c r="EJ138" s="247"/>
      <c r="EK138" s="247"/>
      <c r="EL138" s="247"/>
      <c r="EM138" s="247"/>
      <c r="EN138" s="247"/>
      <c r="EO138" s="247"/>
      <c r="EP138" s="247"/>
      <c r="EQ138" s="247"/>
      <c r="ER138" s="247"/>
      <c r="ES138" s="247"/>
      <c r="ET138" s="247"/>
      <c r="EU138" s="247"/>
      <c r="EV138" s="247"/>
      <c r="EW138" s="247"/>
      <c r="EX138" s="247"/>
      <c r="EY138" s="247"/>
      <c r="EZ138" s="247"/>
      <c r="FA138" s="247"/>
      <c r="FB138" s="247"/>
      <c r="FC138" s="247"/>
      <c r="FD138" s="247"/>
      <c r="FE138" s="247"/>
      <c r="FF138" s="247"/>
      <c r="FG138" s="247"/>
      <c r="FH138" s="247"/>
      <c r="FI138" s="247"/>
      <c r="FJ138" s="247"/>
      <c r="FK138" s="247"/>
      <c r="FL138" s="247"/>
      <c r="FM138" s="247"/>
      <c r="FN138" s="247"/>
      <c r="FO138" s="247"/>
      <c r="FP138" s="247"/>
      <c r="FQ138" s="247"/>
      <c r="FR138" s="247"/>
      <c r="FS138" s="247"/>
      <c r="FT138" s="247"/>
      <c r="FU138" s="247"/>
      <c r="FV138" s="247"/>
      <c r="FW138" s="247"/>
      <c r="FX138" s="247"/>
      <c r="FY138" s="247"/>
      <c r="FZ138" s="247"/>
      <c r="GA138" s="247"/>
      <c r="GB138" s="247"/>
      <c r="GC138" s="247"/>
      <c r="GD138" s="247"/>
      <c r="GE138" s="247"/>
      <c r="GF138" s="247"/>
      <c r="GG138" s="247"/>
      <c r="GH138" s="247"/>
      <c r="GI138" s="247"/>
      <c r="GJ138" s="247"/>
      <c r="GK138" s="247"/>
      <c r="GL138" s="247"/>
      <c r="GM138" s="247"/>
      <c r="GN138" s="247"/>
      <c r="GO138" s="247"/>
      <c r="GP138" s="247"/>
      <c r="GQ138" s="247"/>
      <c r="GR138" s="247"/>
      <c r="GS138" s="247"/>
      <c r="GT138" s="247"/>
      <c r="GU138" s="247"/>
      <c r="GV138" s="247"/>
      <c r="GW138" s="247"/>
      <c r="GX138" s="247"/>
      <c r="GY138" s="247"/>
      <c r="GZ138" s="247"/>
      <c r="HA138" s="247"/>
      <c r="HB138" s="247"/>
      <c r="HC138" s="247"/>
      <c r="HD138" s="247"/>
      <c r="HE138" s="247"/>
      <c r="HF138" s="247"/>
      <c r="HG138" s="247"/>
      <c r="HH138" s="247"/>
      <c r="HI138" s="247"/>
      <c r="HJ138" s="247"/>
      <c r="HK138" s="247"/>
      <c r="HL138" s="247"/>
      <c r="HM138" s="247"/>
      <c r="HN138" s="247"/>
      <c r="HO138" s="247"/>
      <c r="HP138" s="247"/>
      <c r="HQ138" s="247"/>
      <c r="HR138" s="247"/>
      <c r="HS138" s="247"/>
      <c r="HT138" s="247"/>
      <c r="HU138" s="247"/>
      <c r="HV138" s="247"/>
      <c r="HW138" s="247"/>
      <c r="HX138" s="247"/>
      <c r="HY138" s="247"/>
      <c r="HZ138" s="247"/>
      <c r="IA138" s="247"/>
      <c r="IB138" s="247"/>
      <c r="IC138" s="247"/>
      <c r="ID138" s="247"/>
      <c r="IE138" s="247"/>
      <c r="IF138" s="247"/>
      <c r="IG138" s="247"/>
      <c r="IH138" s="247"/>
      <c r="II138" s="247"/>
      <c r="IJ138" s="247"/>
      <c r="IK138" s="247"/>
      <c r="IL138" s="247"/>
      <c r="IM138" s="247"/>
      <c r="IN138" s="247"/>
    </row>
    <row r="139" spans="1:248" ht="15">
      <c r="A139" s="247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7"/>
      <c r="BK139" s="247"/>
      <c r="BL139" s="247"/>
      <c r="BM139" s="247"/>
      <c r="BN139" s="247"/>
      <c r="BO139" s="247"/>
      <c r="BP139" s="247"/>
      <c r="BQ139" s="247"/>
      <c r="BR139" s="247"/>
      <c r="BS139" s="247"/>
      <c r="BT139" s="247"/>
      <c r="BU139" s="247"/>
      <c r="BV139" s="247"/>
      <c r="BW139" s="247"/>
      <c r="BX139" s="247"/>
      <c r="BY139" s="247"/>
      <c r="BZ139" s="247"/>
      <c r="CA139" s="247"/>
      <c r="CB139" s="247"/>
      <c r="CC139" s="247"/>
      <c r="CD139" s="247"/>
      <c r="CE139" s="247"/>
      <c r="CF139" s="247"/>
      <c r="CG139" s="247"/>
      <c r="CH139" s="247"/>
      <c r="CI139" s="247"/>
      <c r="CJ139" s="247"/>
      <c r="CK139" s="247"/>
      <c r="CL139" s="247"/>
      <c r="CM139" s="247"/>
      <c r="CN139" s="247"/>
      <c r="CO139" s="247"/>
      <c r="CP139" s="247"/>
      <c r="CQ139" s="247"/>
      <c r="CR139" s="247"/>
      <c r="CS139" s="247"/>
      <c r="CT139" s="247"/>
      <c r="CU139" s="247"/>
      <c r="CV139" s="247"/>
      <c r="CW139" s="247"/>
      <c r="CX139" s="247"/>
      <c r="CY139" s="247"/>
      <c r="CZ139" s="247"/>
      <c r="DA139" s="247"/>
      <c r="DB139" s="247"/>
      <c r="DC139" s="247"/>
      <c r="DD139" s="247"/>
      <c r="DE139" s="247"/>
      <c r="DF139" s="247"/>
      <c r="DG139" s="247"/>
      <c r="DH139" s="247"/>
      <c r="DI139" s="247"/>
      <c r="DJ139" s="247"/>
      <c r="DK139" s="247"/>
      <c r="DL139" s="247"/>
      <c r="DM139" s="247"/>
      <c r="DN139" s="247"/>
      <c r="DO139" s="247"/>
      <c r="DP139" s="247"/>
      <c r="DQ139" s="247"/>
      <c r="DR139" s="247"/>
      <c r="DS139" s="247"/>
      <c r="DT139" s="247"/>
      <c r="DU139" s="247"/>
      <c r="DV139" s="247"/>
      <c r="DW139" s="247"/>
      <c r="DX139" s="247"/>
      <c r="DY139" s="247"/>
      <c r="DZ139" s="247"/>
      <c r="EA139" s="247"/>
      <c r="EB139" s="247"/>
      <c r="EC139" s="247"/>
      <c r="ED139" s="247"/>
      <c r="EE139" s="247"/>
      <c r="EF139" s="247"/>
      <c r="EG139" s="247"/>
      <c r="EH139" s="247"/>
      <c r="EI139" s="247"/>
      <c r="EJ139" s="247"/>
      <c r="EK139" s="247"/>
      <c r="EL139" s="247"/>
      <c r="EM139" s="247"/>
      <c r="EN139" s="247"/>
      <c r="EO139" s="247"/>
      <c r="EP139" s="247"/>
      <c r="EQ139" s="247"/>
      <c r="ER139" s="247"/>
      <c r="ES139" s="247"/>
      <c r="ET139" s="247"/>
      <c r="EU139" s="247"/>
      <c r="EV139" s="247"/>
      <c r="EW139" s="247"/>
      <c r="EX139" s="247"/>
      <c r="EY139" s="247"/>
      <c r="EZ139" s="247"/>
      <c r="FA139" s="247"/>
      <c r="FB139" s="247"/>
      <c r="FC139" s="247"/>
      <c r="FD139" s="247"/>
      <c r="FE139" s="247"/>
      <c r="FF139" s="247"/>
      <c r="FG139" s="247"/>
      <c r="FH139" s="247"/>
      <c r="FI139" s="247"/>
      <c r="FJ139" s="247"/>
      <c r="FK139" s="247"/>
      <c r="FL139" s="247"/>
      <c r="FM139" s="247"/>
      <c r="FN139" s="247"/>
      <c r="FO139" s="247"/>
      <c r="FP139" s="247"/>
      <c r="FQ139" s="247"/>
      <c r="FR139" s="247"/>
      <c r="FS139" s="247"/>
      <c r="FT139" s="247"/>
      <c r="FU139" s="247"/>
      <c r="FV139" s="247"/>
      <c r="FW139" s="247"/>
      <c r="FX139" s="247"/>
      <c r="FY139" s="247"/>
      <c r="FZ139" s="247"/>
      <c r="GA139" s="247"/>
      <c r="GB139" s="247"/>
      <c r="GC139" s="247"/>
      <c r="GD139" s="247"/>
      <c r="GE139" s="247"/>
      <c r="GF139" s="247"/>
      <c r="GG139" s="247"/>
      <c r="GH139" s="247"/>
      <c r="GI139" s="247"/>
      <c r="GJ139" s="247"/>
      <c r="GK139" s="247"/>
      <c r="GL139" s="247"/>
      <c r="GM139" s="247"/>
      <c r="GN139" s="247"/>
      <c r="GO139" s="247"/>
      <c r="GP139" s="247"/>
      <c r="GQ139" s="247"/>
      <c r="GR139" s="247"/>
      <c r="GS139" s="247"/>
      <c r="GT139" s="247"/>
      <c r="GU139" s="247"/>
      <c r="GV139" s="247"/>
      <c r="GW139" s="247"/>
      <c r="GX139" s="247"/>
      <c r="GY139" s="247"/>
      <c r="GZ139" s="247"/>
      <c r="HA139" s="247"/>
      <c r="HB139" s="247"/>
      <c r="HC139" s="247"/>
      <c r="HD139" s="247"/>
      <c r="HE139" s="247"/>
      <c r="HF139" s="247"/>
      <c r="HG139" s="247"/>
      <c r="HH139" s="247"/>
      <c r="HI139" s="247"/>
      <c r="HJ139" s="247"/>
      <c r="HK139" s="247"/>
      <c r="HL139" s="247"/>
      <c r="HM139" s="247"/>
      <c r="HN139" s="247"/>
      <c r="HO139" s="247"/>
      <c r="HP139" s="247"/>
      <c r="HQ139" s="247"/>
      <c r="HR139" s="247"/>
      <c r="HS139" s="247"/>
      <c r="HT139" s="247"/>
      <c r="HU139" s="247"/>
      <c r="HV139" s="247"/>
      <c r="HW139" s="247"/>
      <c r="HX139" s="247"/>
      <c r="HY139" s="247"/>
      <c r="HZ139" s="247"/>
      <c r="IA139" s="247"/>
      <c r="IB139" s="247"/>
      <c r="IC139" s="247"/>
      <c r="ID139" s="247"/>
      <c r="IE139" s="247"/>
      <c r="IF139" s="247"/>
      <c r="IG139" s="247"/>
      <c r="IH139" s="247"/>
      <c r="II139" s="247"/>
      <c r="IJ139" s="247"/>
      <c r="IK139" s="247"/>
      <c r="IL139" s="247"/>
      <c r="IM139" s="247"/>
      <c r="IN139" s="247"/>
    </row>
    <row r="140" spans="1:248" ht="15">
      <c r="A140" s="247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  <c r="BB140" s="247"/>
      <c r="BC140" s="247"/>
      <c r="BD140" s="247"/>
      <c r="BE140" s="247"/>
      <c r="BF140" s="247"/>
      <c r="BG140" s="247"/>
      <c r="BH140" s="247"/>
      <c r="BI140" s="247"/>
      <c r="BJ140" s="247"/>
      <c r="BK140" s="247"/>
      <c r="BL140" s="247"/>
      <c r="BM140" s="247"/>
      <c r="BN140" s="247"/>
      <c r="BO140" s="247"/>
      <c r="BP140" s="247"/>
      <c r="BQ140" s="247"/>
      <c r="BR140" s="247"/>
      <c r="BS140" s="247"/>
      <c r="BT140" s="247"/>
      <c r="BU140" s="247"/>
      <c r="BV140" s="247"/>
      <c r="BW140" s="247"/>
      <c r="BX140" s="247"/>
      <c r="BY140" s="247"/>
      <c r="BZ140" s="247"/>
      <c r="CA140" s="247"/>
      <c r="CB140" s="247"/>
      <c r="CC140" s="247"/>
      <c r="CD140" s="247"/>
      <c r="CE140" s="247"/>
      <c r="CF140" s="247"/>
      <c r="CG140" s="247"/>
      <c r="CH140" s="247"/>
      <c r="CI140" s="247"/>
      <c r="CJ140" s="247"/>
      <c r="CK140" s="247"/>
      <c r="CL140" s="247"/>
      <c r="CM140" s="247"/>
      <c r="CN140" s="247"/>
      <c r="CO140" s="247"/>
      <c r="CP140" s="247"/>
      <c r="CQ140" s="247"/>
      <c r="CR140" s="247"/>
      <c r="CS140" s="247"/>
      <c r="CT140" s="247"/>
      <c r="CU140" s="247"/>
      <c r="CV140" s="247"/>
      <c r="CW140" s="247"/>
      <c r="CX140" s="247"/>
      <c r="CY140" s="247"/>
      <c r="CZ140" s="247"/>
      <c r="DA140" s="247"/>
      <c r="DB140" s="247"/>
      <c r="DC140" s="247"/>
      <c r="DD140" s="247"/>
      <c r="DE140" s="247"/>
      <c r="DF140" s="247"/>
      <c r="DG140" s="247"/>
      <c r="DH140" s="247"/>
      <c r="DI140" s="247"/>
      <c r="DJ140" s="247"/>
      <c r="DK140" s="247"/>
      <c r="DL140" s="247"/>
      <c r="DM140" s="247"/>
      <c r="DN140" s="247"/>
      <c r="DO140" s="247"/>
      <c r="DP140" s="247"/>
      <c r="DQ140" s="247"/>
      <c r="DR140" s="247"/>
      <c r="DS140" s="247"/>
      <c r="DT140" s="247"/>
      <c r="DU140" s="247"/>
      <c r="DV140" s="247"/>
      <c r="DW140" s="247"/>
      <c r="DX140" s="247"/>
      <c r="DY140" s="247"/>
      <c r="DZ140" s="247"/>
      <c r="EA140" s="247"/>
      <c r="EB140" s="247"/>
      <c r="EC140" s="247"/>
      <c r="ED140" s="247"/>
      <c r="EE140" s="247"/>
      <c r="EF140" s="247"/>
      <c r="EG140" s="247"/>
      <c r="EH140" s="247"/>
      <c r="EI140" s="247"/>
      <c r="EJ140" s="247"/>
      <c r="EK140" s="247"/>
      <c r="EL140" s="247"/>
      <c r="EM140" s="247"/>
      <c r="EN140" s="247"/>
      <c r="EO140" s="247"/>
      <c r="EP140" s="247"/>
      <c r="EQ140" s="247"/>
      <c r="ER140" s="247"/>
      <c r="ES140" s="247"/>
      <c r="ET140" s="247"/>
      <c r="EU140" s="247"/>
      <c r="EV140" s="247"/>
      <c r="EW140" s="247"/>
      <c r="EX140" s="247"/>
      <c r="EY140" s="247"/>
      <c r="EZ140" s="247"/>
      <c r="FA140" s="247"/>
      <c r="FB140" s="247"/>
      <c r="FC140" s="247"/>
      <c r="FD140" s="247"/>
      <c r="FE140" s="247"/>
      <c r="FF140" s="247"/>
      <c r="FG140" s="247"/>
      <c r="FH140" s="247"/>
      <c r="FI140" s="247"/>
      <c r="FJ140" s="247"/>
      <c r="FK140" s="247"/>
      <c r="FL140" s="247"/>
      <c r="FM140" s="247"/>
      <c r="FN140" s="247"/>
      <c r="FO140" s="247"/>
      <c r="FP140" s="247"/>
      <c r="FQ140" s="247"/>
      <c r="FR140" s="247"/>
      <c r="FS140" s="247"/>
      <c r="FT140" s="247"/>
      <c r="FU140" s="247"/>
      <c r="FV140" s="247"/>
      <c r="FW140" s="247"/>
      <c r="FX140" s="247"/>
      <c r="FY140" s="247"/>
      <c r="FZ140" s="247"/>
      <c r="GA140" s="247"/>
      <c r="GB140" s="247"/>
      <c r="GC140" s="247"/>
      <c r="GD140" s="247"/>
      <c r="GE140" s="247"/>
      <c r="GF140" s="247"/>
      <c r="GG140" s="247"/>
      <c r="GH140" s="247"/>
      <c r="GI140" s="247"/>
      <c r="GJ140" s="247"/>
      <c r="GK140" s="247"/>
      <c r="GL140" s="247"/>
      <c r="GM140" s="247"/>
      <c r="GN140" s="247"/>
      <c r="GO140" s="247"/>
      <c r="GP140" s="247"/>
      <c r="GQ140" s="247"/>
      <c r="GR140" s="247"/>
      <c r="GS140" s="247"/>
      <c r="GT140" s="247"/>
      <c r="GU140" s="247"/>
      <c r="GV140" s="247"/>
      <c r="GW140" s="247"/>
      <c r="GX140" s="247"/>
      <c r="GY140" s="247"/>
      <c r="GZ140" s="247"/>
      <c r="HA140" s="247"/>
      <c r="HB140" s="247"/>
      <c r="HC140" s="247"/>
      <c r="HD140" s="247"/>
      <c r="HE140" s="247"/>
      <c r="HF140" s="247"/>
      <c r="HG140" s="247"/>
      <c r="HH140" s="247"/>
      <c r="HI140" s="247"/>
      <c r="HJ140" s="247"/>
      <c r="HK140" s="247"/>
      <c r="HL140" s="247"/>
      <c r="HM140" s="247"/>
      <c r="HN140" s="247"/>
      <c r="HO140" s="247"/>
      <c r="HP140" s="247"/>
      <c r="HQ140" s="247"/>
      <c r="HR140" s="247"/>
      <c r="HS140" s="247"/>
      <c r="HT140" s="247"/>
      <c r="HU140" s="247"/>
      <c r="HV140" s="247"/>
      <c r="HW140" s="247"/>
      <c r="HX140" s="247"/>
      <c r="HY140" s="247"/>
      <c r="HZ140" s="247"/>
      <c r="IA140" s="247"/>
      <c r="IB140" s="247"/>
      <c r="IC140" s="247"/>
      <c r="ID140" s="247"/>
      <c r="IE140" s="247"/>
      <c r="IF140" s="247"/>
      <c r="IG140" s="247"/>
      <c r="IH140" s="247"/>
      <c r="II140" s="247"/>
      <c r="IJ140" s="247"/>
      <c r="IK140" s="247"/>
      <c r="IL140" s="247"/>
      <c r="IM140" s="247"/>
      <c r="IN140" s="247"/>
    </row>
    <row r="141" spans="1:248" ht="15">
      <c r="A141" s="247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247"/>
      <c r="AR141" s="247"/>
      <c r="AS141" s="247"/>
      <c r="AT141" s="247"/>
      <c r="AU141" s="247"/>
      <c r="AV141" s="247"/>
      <c r="AW141" s="247"/>
      <c r="AX141" s="247"/>
      <c r="AY141" s="247"/>
      <c r="AZ141" s="247"/>
      <c r="BA141" s="247"/>
      <c r="BB141" s="247"/>
      <c r="BC141" s="247"/>
      <c r="BD141" s="247"/>
      <c r="BE141" s="247"/>
      <c r="BF141" s="247"/>
      <c r="BG141" s="247"/>
      <c r="BH141" s="247"/>
      <c r="BI141" s="247"/>
      <c r="BJ141" s="247"/>
      <c r="BK141" s="247"/>
      <c r="BL141" s="247"/>
      <c r="BM141" s="247"/>
      <c r="BN141" s="247"/>
      <c r="BO141" s="247"/>
      <c r="BP141" s="247"/>
      <c r="BQ141" s="247"/>
      <c r="BR141" s="247"/>
      <c r="BS141" s="247"/>
      <c r="BT141" s="247"/>
      <c r="BU141" s="247"/>
      <c r="BV141" s="247"/>
      <c r="BW141" s="247"/>
      <c r="BX141" s="247"/>
      <c r="BY141" s="247"/>
      <c r="BZ141" s="247"/>
      <c r="CA141" s="247"/>
      <c r="CB141" s="247"/>
      <c r="CC141" s="247"/>
      <c r="CD141" s="247"/>
      <c r="CE141" s="247"/>
      <c r="CF141" s="247"/>
      <c r="CG141" s="247"/>
      <c r="CH141" s="247"/>
      <c r="CI141" s="247"/>
      <c r="CJ141" s="247"/>
      <c r="CK141" s="247"/>
      <c r="CL141" s="247"/>
      <c r="CM141" s="247"/>
      <c r="CN141" s="247"/>
      <c r="CO141" s="247"/>
      <c r="CP141" s="247"/>
      <c r="CQ141" s="247"/>
      <c r="CR141" s="247"/>
      <c r="CS141" s="247"/>
      <c r="CT141" s="247"/>
      <c r="CU141" s="247"/>
      <c r="CV141" s="247"/>
      <c r="CW141" s="247"/>
      <c r="CX141" s="247"/>
      <c r="CY141" s="247"/>
      <c r="CZ141" s="247"/>
      <c r="DA141" s="247"/>
      <c r="DB141" s="247"/>
      <c r="DC141" s="247"/>
      <c r="DD141" s="247"/>
      <c r="DE141" s="247"/>
      <c r="DF141" s="247"/>
      <c r="DG141" s="247"/>
      <c r="DH141" s="247"/>
      <c r="DI141" s="247"/>
      <c r="DJ141" s="247"/>
      <c r="DK141" s="247"/>
      <c r="DL141" s="247"/>
      <c r="DM141" s="247"/>
      <c r="DN141" s="247"/>
      <c r="DO141" s="247"/>
      <c r="DP141" s="247"/>
      <c r="DQ141" s="247"/>
      <c r="DR141" s="247"/>
      <c r="DS141" s="247"/>
      <c r="DT141" s="247"/>
      <c r="DU141" s="247"/>
      <c r="DV141" s="247"/>
      <c r="DW141" s="247"/>
      <c r="DX141" s="247"/>
      <c r="DY141" s="247"/>
      <c r="DZ141" s="247"/>
      <c r="EA141" s="247"/>
      <c r="EB141" s="247"/>
      <c r="EC141" s="247"/>
      <c r="ED141" s="247"/>
      <c r="EE141" s="247"/>
      <c r="EF141" s="247"/>
      <c r="EG141" s="247"/>
      <c r="EH141" s="247"/>
      <c r="EI141" s="247"/>
      <c r="EJ141" s="247"/>
      <c r="EK141" s="247"/>
      <c r="EL141" s="247"/>
      <c r="EM141" s="247"/>
      <c r="EN141" s="247"/>
      <c r="EO141" s="247"/>
      <c r="EP141" s="247"/>
      <c r="EQ141" s="247"/>
      <c r="ER141" s="247"/>
      <c r="ES141" s="247"/>
      <c r="ET141" s="247"/>
      <c r="EU141" s="247"/>
      <c r="EV141" s="247"/>
      <c r="EW141" s="247"/>
      <c r="EX141" s="247"/>
      <c r="EY141" s="247"/>
      <c r="EZ141" s="247"/>
      <c r="FA141" s="247"/>
      <c r="FB141" s="247"/>
      <c r="FC141" s="247"/>
      <c r="FD141" s="247"/>
      <c r="FE141" s="247"/>
      <c r="FF141" s="247"/>
      <c r="FG141" s="247"/>
      <c r="FH141" s="247"/>
      <c r="FI141" s="247"/>
      <c r="FJ141" s="247"/>
      <c r="FK141" s="247"/>
      <c r="FL141" s="247"/>
      <c r="FM141" s="247"/>
      <c r="FN141" s="247"/>
      <c r="FO141" s="247"/>
      <c r="FP141" s="247"/>
      <c r="FQ141" s="247"/>
      <c r="FR141" s="247"/>
      <c r="FS141" s="247"/>
      <c r="FT141" s="247"/>
      <c r="FU141" s="247"/>
      <c r="FV141" s="247"/>
      <c r="FW141" s="247"/>
      <c r="FX141" s="247"/>
      <c r="FY141" s="247"/>
      <c r="FZ141" s="247"/>
      <c r="GA141" s="247"/>
      <c r="GB141" s="247"/>
      <c r="GC141" s="247"/>
      <c r="GD141" s="247"/>
      <c r="GE141" s="247"/>
      <c r="GF141" s="247"/>
      <c r="GG141" s="247"/>
      <c r="GH141" s="247"/>
      <c r="GI141" s="247"/>
      <c r="GJ141" s="247"/>
      <c r="GK141" s="247"/>
      <c r="GL141" s="247"/>
      <c r="GM141" s="247"/>
      <c r="GN141" s="247"/>
      <c r="GO141" s="247"/>
      <c r="GP141" s="247"/>
      <c r="GQ141" s="247"/>
      <c r="GR141" s="247"/>
      <c r="GS141" s="247"/>
      <c r="GT141" s="247"/>
      <c r="GU141" s="247"/>
      <c r="GV141" s="247"/>
      <c r="GW141" s="247"/>
      <c r="GX141" s="247"/>
      <c r="GY141" s="247"/>
      <c r="GZ141" s="247"/>
      <c r="HA141" s="247"/>
      <c r="HB141" s="247"/>
      <c r="HC141" s="247"/>
      <c r="HD141" s="247"/>
      <c r="HE141" s="247"/>
      <c r="HF141" s="247"/>
      <c r="HG141" s="247"/>
      <c r="HH141" s="247"/>
      <c r="HI141" s="247"/>
      <c r="HJ141" s="247"/>
      <c r="HK141" s="247"/>
      <c r="HL141" s="247"/>
      <c r="HM141" s="247"/>
      <c r="HN141" s="247"/>
      <c r="HO141" s="247"/>
      <c r="HP141" s="247"/>
      <c r="HQ141" s="247"/>
      <c r="HR141" s="247"/>
      <c r="HS141" s="247"/>
      <c r="HT141" s="247"/>
      <c r="HU141" s="247"/>
      <c r="HV141" s="247"/>
      <c r="HW141" s="247"/>
      <c r="HX141" s="247"/>
      <c r="HY141" s="247"/>
      <c r="HZ141" s="247"/>
      <c r="IA141" s="247"/>
      <c r="IB141" s="247"/>
      <c r="IC141" s="247"/>
      <c r="ID141" s="247"/>
      <c r="IE141" s="247"/>
      <c r="IF141" s="247"/>
      <c r="IG141" s="247"/>
      <c r="IH141" s="247"/>
      <c r="II141" s="247"/>
      <c r="IJ141" s="247"/>
      <c r="IK141" s="247"/>
      <c r="IL141" s="247"/>
      <c r="IM141" s="247"/>
      <c r="IN141" s="247"/>
    </row>
    <row r="142" spans="1:248" ht="15">
      <c r="A142" s="247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7"/>
      <c r="AS142" s="247"/>
      <c r="AT142" s="247"/>
      <c r="AU142" s="247"/>
      <c r="AV142" s="247"/>
      <c r="AW142" s="247"/>
      <c r="AX142" s="247"/>
      <c r="AY142" s="247"/>
      <c r="AZ142" s="247"/>
      <c r="BA142" s="247"/>
      <c r="BB142" s="247"/>
      <c r="BC142" s="247"/>
      <c r="BD142" s="247"/>
      <c r="BE142" s="247"/>
      <c r="BF142" s="247"/>
      <c r="BG142" s="247"/>
      <c r="BH142" s="247"/>
      <c r="BI142" s="247"/>
      <c r="BJ142" s="247"/>
      <c r="BK142" s="247"/>
      <c r="BL142" s="247"/>
      <c r="BM142" s="247"/>
      <c r="BN142" s="247"/>
      <c r="BO142" s="247"/>
      <c r="BP142" s="247"/>
      <c r="BQ142" s="247"/>
      <c r="BR142" s="247"/>
      <c r="BS142" s="247"/>
      <c r="BT142" s="247"/>
      <c r="BU142" s="247"/>
      <c r="BV142" s="247"/>
      <c r="BW142" s="247"/>
      <c r="BX142" s="247"/>
      <c r="BY142" s="247"/>
      <c r="BZ142" s="247"/>
      <c r="CA142" s="247"/>
      <c r="CB142" s="247"/>
      <c r="CC142" s="247"/>
      <c r="CD142" s="247"/>
      <c r="CE142" s="247"/>
      <c r="CF142" s="247"/>
      <c r="CG142" s="247"/>
      <c r="CH142" s="247"/>
      <c r="CI142" s="247"/>
      <c r="CJ142" s="247"/>
      <c r="CK142" s="247"/>
      <c r="CL142" s="247"/>
      <c r="CM142" s="247"/>
      <c r="CN142" s="247"/>
      <c r="CO142" s="247"/>
      <c r="CP142" s="247"/>
      <c r="CQ142" s="247"/>
      <c r="CR142" s="247"/>
      <c r="CS142" s="247"/>
      <c r="CT142" s="247"/>
      <c r="CU142" s="247"/>
      <c r="CV142" s="247"/>
      <c r="CW142" s="247"/>
      <c r="CX142" s="247"/>
      <c r="CY142" s="247"/>
      <c r="CZ142" s="247"/>
      <c r="DA142" s="247"/>
      <c r="DB142" s="247"/>
      <c r="DC142" s="247"/>
      <c r="DD142" s="247"/>
      <c r="DE142" s="247"/>
      <c r="DF142" s="247"/>
      <c r="DG142" s="247"/>
      <c r="DH142" s="247"/>
      <c r="DI142" s="247"/>
      <c r="DJ142" s="247"/>
      <c r="DK142" s="247"/>
      <c r="DL142" s="247"/>
      <c r="DM142" s="247"/>
      <c r="DN142" s="247"/>
      <c r="DO142" s="247"/>
      <c r="DP142" s="247"/>
      <c r="DQ142" s="247"/>
      <c r="DR142" s="247"/>
      <c r="DS142" s="247"/>
      <c r="DT142" s="247"/>
      <c r="DU142" s="247"/>
      <c r="DV142" s="247"/>
      <c r="DW142" s="247"/>
      <c r="DX142" s="247"/>
      <c r="DY142" s="247"/>
      <c r="DZ142" s="247"/>
      <c r="EA142" s="247"/>
      <c r="EB142" s="247"/>
      <c r="EC142" s="247"/>
      <c r="ED142" s="247"/>
      <c r="EE142" s="247"/>
      <c r="EF142" s="247"/>
      <c r="EG142" s="247"/>
      <c r="EH142" s="247"/>
      <c r="EI142" s="247"/>
      <c r="EJ142" s="247"/>
      <c r="EK142" s="247"/>
      <c r="EL142" s="247"/>
      <c r="EM142" s="247"/>
      <c r="EN142" s="247"/>
      <c r="EO142" s="247"/>
      <c r="EP142" s="247"/>
      <c r="EQ142" s="247"/>
      <c r="ER142" s="247"/>
      <c r="ES142" s="247"/>
      <c r="ET142" s="247"/>
      <c r="EU142" s="247"/>
      <c r="EV142" s="247"/>
      <c r="EW142" s="247"/>
      <c r="EX142" s="247"/>
      <c r="EY142" s="247"/>
      <c r="EZ142" s="247"/>
      <c r="FA142" s="247"/>
      <c r="FB142" s="247"/>
      <c r="FC142" s="247"/>
      <c r="FD142" s="247"/>
      <c r="FE142" s="247"/>
      <c r="FF142" s="247"/>
      <c r="FG142" s="247"/>
      <c r="FH142" s="247"/>
      <c r="FI142" s="247"/>
      <c r="FJ142" s="247"/>
      <c r="FK142" s="247"/>
      <c r="FL142" s="247"/>
      <c r="FM142" s="247"/>
      <c r="FN142" s="247"/>
      <c r="FO142" s="247"/>
      <c r="FP142" s="247"/>
      <c r="FQ142" s="247"/>
      <c r="FR142" s="247"/>
      <c r="FS142" s="247"/>
      <c r="FT142" s="247"/>
      <c r="FU142" s="247"/>
      <c r="FV142" s="247"/>
      <c r="FW142" s="247"/>
      <c r="FX142" s="247"/>
      <c r="FY142" s="247"/>
      <c r="FZ142" s="247"/>
      <c r="GA142" s="247"/>
      <c r="GB142" s="247"/>
      <c r="GC142" s="247"/>
      <c r="GD142" s="247"/>
      <c r="GE142" s="247"/>
      <c r="GF142" s="247"/>
      <c r="GG142" s="247"/>
      <c r="GH142" s="247"/>
      <c r="GI142" s="247"/>
      <c r="GJ142" s="247"/>
      <c r="GK142" s="247"/>
      <c r="GL142" s="247"/>
      <c r="GM142" s="247"/>
      <c r="GN142" s="247"/>
      <c r="GO142" s="247"/>
      <c r="GP142" s="247"/>
      <c r="GQ142" s="247"/>
      <c r="GR142" s="247"/>
      <c r="GS142" s="247"/>
      <c r="GT142" s="247"/>
      <c r="GU142" s="247"/>
      <c r="GV142" s="247"/>
      <c r="GW142" s="247"/>
      <c r="GX142" s="247"/>
      <c r="GY142" s="247"/>
      <c r="GZ142" s="247"/>
      <c r="HA142" s="247"/>
      <c r="HB142" s="247"/>
      <c r="HC142" s="247"/>
      <c r="HD142" s="247"/>
      <c r="HE142" s="247"/>
      <c r="HF142" s="247"/>
      <c r="HG142" s="247"/>
      <c r="HH142" s="247"/>
      <c r="HI142" s="247"/>
      <c r="HJ142" s="247"/>
      <c r="HK142" s="247"/>
      <c r="HL142" s="247"/>
      <c r="HM142" s="247"/>
      <c r="HN142" s="247"/>
      <c r="HO142" s="247"/>
      <c r="HP142" s="247"/>
      <c r="HQ142" s="247"/>
      <c r="HR142" s="247"/>
      <c r="HS142" s="247"/>
      <c r="HT142" s="247"/>
      <c r="HU142" s="247"/>
      <c r="HV142" s="247"/>
      <c r="HW142" s="247"/>
      <c r="HX142" s="247"/>
      <c r="HY142" s="247"/>
      <c r="HZ142" s="247"/>
      <c r="IA142" s="247"/>
      <c r="IB142" s="247"/>
      <c r="IC142" s="247"/>
      <c r="ID142" s="247"/>
      <c r="IE142" s="247"/>
      <c r="IF142" s="247"/>
      <c r="IG142" s="247"/>
      <c r="IH142" s="247"/>
      <c r="II142" s="247"/>
      <c r="IJ142" s="247"/>
      <c r="IK142" s="247"/>
      <c r="IL142" s="247"/>
      <c r="IM142" s="247"/>
      <c r="IN142" s="247"/>
    </row>
    <row r="143" spans="1:248" ht="15">
      <c r="A143" s="247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247"/>
      <c r="AJ143" s="247"/>
      <c r="AK143" s="247"/>
      <c r="AL143" s="247"/>
      <c r="AM143" s="247"/>
      <c r="AN143" s="247"/>
      <c r="AO143" s="247"/>
      <c r="AP143" s="247"/>
      <c r="AQ143" s="247"/>
      <c r="AR143" s="247"/>
      <c r="AS143" s="247"/>
      <c r="AT143" s="247"/>
      <c r="AU143" s="247"/>
      <c r="AV143" s="247"/>
      <c r="AW143" s="247"/>
      <c r="AX143" s="247"/>
      <c r="AY143" s="247"/>
      <c r="AZ143" s="247"/>
      <c r="BA143" s="247"/>
      <c r="BB143" s="247"/>
      <c r="BC143" s="247"/>
      <c r="BD143" s="247"/>
      <c r="BE143" s="247"/>
      <c r="BF143" s="247"/>
      <c r="BG143" s="247"/>
      <c r="BH143" s="247"/>
      <c r="BI143" s="247"/>
      <c r="BJ143" s="247"/>
      <c r="BK143" s="247"/>
      <c r="BL143" s="247"/>
      <c r="BM143" s="247"/>
      <c r="BN143" s="247"/>
      <c r="BO143" s="247"/>
      <c r="BP143" s="247"/>
      <c r="BQ143" s="247"/>
      <c r="BR143" s="247"/>
      <c r="BS143" s="247"/>
      <c r="BT143" s="247"/>
      <c r="BU143" s="247"/>
      <c r="BV143" s="247"/>
      <c r="BW143" s="247"/>
      <c r="BX143" s="247"/>
      <c r="BY143" s="247"/>
      <c r="BZ143" s="247"/>
      <c r="CA143" s="247"/>
      <c r="CB143" s="247"/>
      <c r="CC143" s="247"/>
      <c r="CD143" s="247"/>
      <c r="CE143" s="247"/>
      <c r="CF143" s="247"/>
      <c r="CG143" s="247"/>
      <c r="CH143" s="247"/>
      <c r="CI143" s="247"/>
      <c r="CJ143" s="247"/>
      <c r="CK143" s="247"/>
      <c r="CL143" s="247"/>
      <c r="CM143" s="247"/>
      <c r="CN143" s="247"/>
      <c r="CO143" s="247"/>
      <c r="CP143" s="247"/>
      <c r="CQ143" s="247"/>
      <c r="CR143" s="247"/>
      <c r="CS143" s="247"/>
      <c r="CT143" s="247"/>
      <c r="CU143" s="247"/>
      <c r="CV143" s="247"/>
      <c r="CW143" s="247"/>
      <c r="CX143" s="247"/>
      <c r="CY143" s="247"/>
      <c r="CZ143" s="247"/>
      <c r="DA143" s="247"/>
      <c r="DB143" s="247"/>
      <c r="DC143" s="247"/>
      <c r="DD143" s="247"/>
      <c r="DE143" s="247"/>
      <c r="DF143" s="247"/>
      <c r="DG143" s="247"/>
      <c r="DH143" s="247"/>
      <c r="DI143" s="247"/>
      <c r="DJ143" s="247"/>
      <c r="DK143" s="247"/>
      <c r="DL143" s="247"/>
      <c r="DM143" s="247"/>
      <c r="DN143" s="247"/>
      <c r="DO143" s="247"/>
      <c r="DP143" s="247"/>
      <c r="DQ143" s="247"/>
      <c r="DR143" s="247"/>
      <c r="DS143" s="247"/>
      <c r="DT143" s="247"/>
      <c r="DU143" s="247"/>
      <c r="DV143" s="247"/>
      <c r="DW143" s="247"/>
      <c r="DX143" s="247"/>
      <c r="DY143" s="247"/>
      <c r="DZ143" s="247"/>
      <c r="EA143" s="247"/>
      <c r="EB143" s="247"/>
      <c r="EC143" s="247"/>
      <c r="ED143" s="247"/>
      <c r="EE143" s="247"/>
      <c r="EF143" s="247"/>
      <c r="EG143" s="247"/>
      <c r="EH143" s="247"/>
      <c r="EI143" s="247"/>
      <c r="EJ143" s="247"/>
      <c r="EK143" s="247"/>
      <c r="EL143" s="247"/>
      <c r="EM143" s="247"/>
      <c r="EN143" s="247"/>
      <c r="EO143" s="247"/>
      <c r="EP143" s="247"/>
      <c r="EQ143" s="247"/>
      <c r="ER143" s="247"/>
      <c r="ES143" s="247"/>
      <c r="ET143" s="247"/>
      <c r="EU143" s="247"/>
      <c r="EV143" s="247"/>
      <c r="EW143" s="247"/>
      <c r="EX143" s="247"/>
      <c r="EY143" s="247"/>
      <c r="EZ143" s="247"/>
      <c r="FA143" s="247"/>
      <c r="FB143" s="247"/>
      <c r="FC143" s="247"/>
      <c r="FD143" s="247"/>
      <c r="FE143" s="247"/>
      <c r="FF143" s="247"/>
      <c r="FG143" s="247"/>
      <c r="FH143" s="247"/>
      <c r="FI143" s="247"/>
      <c r="FJ143" s="247"/>
      <c r="FK143" s="247"/>
      <c r="FL143" s="247"/>
      <c r="FM143" s="247"/>
      <c r="FN143" s="247"/>
      <c r="FO143" s="247"/>
      <c r="FP143" s="247"/>
      <c r="FQ143" s="247"/>
      <c r="FR143" s="247"/>
      <c r="FS143" s="247"/>
      <c r="FT143" s="247"/>
      <c r="FU143" s="247"/>
      <c r="FV143" s="247"/>
      <c r="FW143" s="247"/>
      <c r="FX143" s="247"/>
      <c r="FY143" s="247"/>
      <c r="FZ143" s="247"/>
      <c r="GA143" s="247"/>
      <c r="GB143" s="247"/>
      <c r="GC143" s="247"/>
      <c r="GD143" s="247"/>
      <c r="GE143" s="247"/>
      <c r="GF143" s="247"/>
      <c r="GG143" s="247"/>
      <c r="GH143" s="247"/>
      <c r="GI143" s="247"/>
      <c r="GJ143" s="247"/>
      <c r="GK143" s="247"/>
      <c r="GL143" s="247"/>
      <c r="GM143" s="247"/>
      <c r="GN143" s="247"/>
      <c r="GO143" s="247"/>
      <c r="GP143" s="247"/>
      <c r="GQ143" s="247"/>
      <c r="GR143" s="247"/>
      <c r="GS143" s="247"/>
      <c r="GT143" s="247"/>
      <c r="GU143" s="247"/>
      <c r="GV143" s="247"/>
      <c r="GW143" s="247"/>
      <c r="GX143" s="247"/>
      <c r="GY143" s="247"/>
      <c r="GZ143" s="247"/>
      <c r="HA143" s="247"/>
      <c r="HB143" s="247"/>
      <c r="HC143" s="247"/>
      <c r="HD143" s="247"/>
      <c r="HE143" s="247"/>
      <c r="HF143" s="247"/>
      <c r="HG143" s="247"/>
      <c r="HH143" s="247"/>
      <c r="HI143" s="247"/>
      <c r="HJ143" s="247"/>
      <c r="HK143" s="247"/>
      <c r="HL143" s="247"/>
      <c r="HM143" s="247"/>
      <c r="HN143" s="247"/>
      <c r="HO143" s="247"/>
      <c r="HP143" s="247"/>
      <c r="HQ143" s="247"/>
      <c r="HR143" s="247"/>
      <c r="HS143" s="247"/>
      <c r="HT143" s="247"/>
      <c r="HU143" s="247"/>
      <c r="HV143" s="247"/>
      <c r="HW143" s="247"/>
      <c r="HX143" s="247"/>
      <c r="HY143" s="247"/>
      <c r="HZ143" s="247"/>
      <c r="IA143" s="247"/>
      <c r="IB143" s="247"/>
      <c r="IC143" s="247"/>
      <c r="ID143" s="247"/>
      <c r="IE143" s="247"/>
      <c r="IF143" s="247"/>
      <c r="IG143" s="247"/>
      <c r="IH143" s="247"/>
      <c r="II143" s="247"/>
      <c r="IJ143" s="247"/>
      <c r="IK143" s="247"/>
      <c r="IL143" s="247"/>
      <c r="IM143" s="247"/>
      <c r="IN143" s="247"/>
    </row>
    <row r="144" spans="1:248" ht="15">
      <c r="A144" s="247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47"/>
      <c r="AB144" s="247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  <c r="BB144" s="247"/>
      <c r="BC144" s="247"/>
      <c r="BD144" s="247"/>
      <c r="BE144" s="247"/>
      <c r="BF144" s="247"/>
      <c r="BG144" s="247"/>
      <c r="BH144" s="247"/>
      <c r="BI144" s="247"/>
      <c r="BJ144" s="247"/>
      <c r="BK144" s="247"/>
      <c r="BL144" s="247"/>
      <c r="BM144" s="247"/>
      <c r="BN144" s="247"/>
      <c r="BO144" s="247"/>
      <c r="BP144" s="247"/>
      <c r="BQ144" s="247"/>
      <c r="BR144" s="247"/>
      <c r="BS144" s="247"/>
      <c r="BT144" s="247"/>
      <c r="BU144" s="247"/>
      <c r="BV144" s="247"/>
      <c r="BW144" s="247"/>
      <c r="BX144" s="247"/>
      <c r="BY144" s="247"/>
      <c r="BZ144" s="247"/>
      <c r="CA144" s="247"/>
      <c r="CB144" s="247"/>
      <c r="CC144" s="247"/>
      <c r="CD144" s="247"/>
      <c r="CE144" s="247"/>
      <c r="CF144" s="247"/>
      <c r="CG144" s="247"/>
      <c r="CH144" s="247"/>
      <c r="CI144" s="247"/>
      <c r="CJ144" s="247"/>
      <c r="CK144" s="247"/>
      <c r="CL144" s="247"/>
      <c r="CM144" s="247"/>
      <c r="CN144" s="247"/>
      <c r="CO144" s="247"/>
      <c r="CP144" s="247"/>
      <c r="CQ144" s="247"/>
      <c r="CR144" s="247"/>
      <c r="CS144" s="247"/>
      <c r="CT144" s="247"/>
      <c r="CU144" s="247"/>
      <c r="CV144" s="247"/>
      <c r="CW144" s="247"/>
      <c r="CX144" s="247"/>
      <c r="CY144" s="247"/>
      <c r="CZ144" s="247"/>
      <c r="DA144" s="247"/>
      <c r="DB144" s="247"/>
      <c r="DC144" s="247"/>
      <c r="DD144" s="247"/>
      <c r="DE144" s="247"/>
      <c r="DF144" s="247"/>
      <c r="DG144" s="247"/>
      <c r="DH144" s="247"/>
      <c r="DI144" s="247"/>
      <c r="DJ144" s="247"/>
      <c r="DK144" s="247"/>
      <c r="DL144" s="247"/>
      <c r="DM144" s="247"/>
      <c r="DN144" s="247"/>
      <c r="DO144" s="247"/>
      <c r="DP144" s="247"/>
      <c r="DQ144" s="247"/>
      <c r="DR144" s="247"/>
      <c r="DS144" s="247"/>
      <c r="DT144" s="247"/>
      <c r="DU144" s="247"/>
      <c r="DV144" s="247"/>
      <c r="DW144" s="247"/>
      <c r="DX144" s="247"/>
      <c r="DY144" s="247"/>
      <c r="DZ144" s="247"/>
      <c r="EA144" s="247"/>
      <c r="EB144" s="247"/>
      <c r="EC144" s="247"/>
      <c r="ED144" s="247"/>
      <c r="EE144" s="247"/>
      <c r="EF144" s="247"/>
      <c r="EG144" s="247"/>
      <c r="EH144" s="247"/>
      <c r="EI144" s="247"/>
      <c r="EJ144" s="247"/>
      <c r="EK144" s="247"/>
      <c r="EL144" s="247"/>
      <c r="EM144" s="247"/>
      <c r="EN144" s="247"/>
      <c r="EO144" s="247"/>
      <c r="EP144" s="247"/>
      <c r="EQ144" s="247"/>
      <c r="ER144" s="247"/>
      <c r="ES144" s="247"/>
      <c r="ET144" s="247"/>
      <c r="EU144" s="247"/>
      <c r="EV144" s="247"/>
      <c r="EW144" s="247"/>
      <c r="EX144" s="247"/>
      <c r="EY144" s="247"/>
      <c r="EZ144" s="247"/>
      <c r="FA144" s="247"/>
      <c r="FB144" s="247"/>
      <c r="FC144" s="247"/>
      <c r="FD144" s="247"/>
      <c r="FE144" s="247"/>
      <c r="FF144" s="247"/>
      <c r="FG144" s="247"/>
      <c r="FH144" s="247"/>
      <c r="FI144" s="247"/>
      <c r="FJ144" s="247"/>
      <c r="FK144" s="247"/>
      <c r="FL144" s="247"/>
      <c r="FM144" s="247"/>
      <c r="FN144" s="247"/>
      <c r="FO144" s="247"/>
      <c r="FP144" s="247"/>
      <c r="FQ144" s="247"/>
      <c r="FR144" s="247"/>
      <c r="FS144" s="247"/>
      <c r="FT144" s="247"/>
      <c r="FU144" s="247"/>
      <c r="FV144" s="247"/>
      <c r="FW144" s="247"/>
      <c r="FX144" s="247"/>
      <c r="FY144" s="247"/>
      <c r="FZ144" s="247"/>
      <c r="GA144" s="247"/>
      <c r="GB144" s="247"/>
      <c r="GC144" s="247"/>
      <c r="GD144" s="247"/>
      <c r="GE144" s="247"/>
      <c r="GF144" s="247"/>
      <c r="GG144" s="247"/>
      <c r="GH144" s="247"/>
      <c r="GI144" s="247"/>
      <c r="GJ144" s="247"/>
      <c r="GK144" s="247"/>
      <c r="GL144" s="247"/>
      <c r="GM144" s="247"/>
      <c r="GN144" s="247"/>
      <c r="GO144" s="247"/>
      <c r="GP144" s="247"/>
      <c r="GQ144" s="247"/>
      <c r="GR144" s="247"/>
      <c r="GS144" s="247"/>
      <c r="GT144" s="247"/>
      <c r="GU144" s="247"/>
      <c r="GV144" s="247"/>
      <c r="GW144" s="247"/>
      <c r="GX144" s="247"/>
      <c r="GY144" s="247"/>
      <c r="GZ144" s="247"/>
      <c r="HA144" s="247"/>
      <c r="HB144" s="247"/>
      <c r="HC144" s="247"/>
      <c r="HD144" s="247"/>
      <c r="HE144" s="247"/>
      <c r="HF144" s="247"/>
      <c r="HG144" s="247"/>
      <c r="HH144" s="247"/>
      <c r="HI144" s="247"/>
      <c r="HJ144" s="247"/>
      <c r="HK144" s="247"/>
      <c r="HL144" s="247"/>
      <c r="HM144" s="247"/>
      <c r="HN144" s="247"/>
      <c r="HO144" s="247"/>
      <c r="HP144" s="247"/>
      <c r="HQ144" s="247"/>
      <c r="HR144" s="247"/>
      <c r="HS144" s="247"/>
      <c r="HT144" s="247"/>
      <c r="HU144" s="247"/>
      <c r="HV144" s="247"/>
      <c r="HW144" s="247"/>
      <c r="HX144" s="247"/>
      <c r="HY144" s="247"/>
      <c r="HZ144" s="247"/>
      <c r="IA144" s="247"/>
      <c r="IB144" s="247"/>
      <c r="IC144" s="247"/>
      <c r="ID144" s="247"/>
      <c r="IE144" s="247"/>
      <c r="IF144" s="247"/>
      <c r="IG144" s="247"/>
      <c r="IH144" s="247"/>
      <c r="II144" s="247"/>
      <c r="IJ144" s="247"/>
      <c r="IK144" s="247"/>
      <c r="IL144" s="247"/>
      <c r="IM144" s="247"/>
      <c r="IN144" s="247"/>
    </row>
    <row r="145" spans="1:248" ht="15">
      <c r="A145" s="247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7"/>
      <c r="BM145" s="247"/>
      <c r="BN145" s="247"/>
      <c r="BO145" s="247"/>
      <c r="BP145" s="247"/>
      <c r="BQ145" s="247"/>
      <c r="BR145" s="247"/>
      <c r="BS145" s="247"/>
      <c r="BT145" s="247"/>
      <c r="BU145" s="247"/>
      <c r="BV145" s="247"/>
      <c r="BW145" s="247"/>
      <c r="BX145" s="247"/>
      <c r="BY145" s="247"/>
      <c r="BZ145" s="247"/>
      <c r="CA145" s="247"/>
      <c r="CB145" s="247"/>
      <c r="CC145" s="247"/>
      <c r="CD145" s="247"/>
      <c r="CE145" s="247"/>
      <c r="CF145" s="247"/>
      <c r="CG145" s="247"/>
      <c r="CH145" s="247"/>
      <c r="CI145" s="247"/>
      <c r="CJ145" s="247"/>
      <c r="CK145" s="247"/>
      <c r="CL145" s="247"/>
      <c r="CM145" s="247"/>
      <c r="CN145" s="247"/>
      <c r="CO145" s="247"/>
      <c r="CP145" s="247"/>
      <c r="CQ145" s="247"/>
      <c r="CR145" s="247"/>
      <c r="CS145" s="247"/>
      <c r="CT145" s="247"/>
      <c r="CU145" s="247"/>
      <c r="CV145" s="247"/>
      <c r="CW145" s="247"/>
      <c r="CX145" s="247"/>
      <c r="CY145" s="247"/>
      <c r="CZ145" s="247"/>
      <c r="DA145" s="247"/>
      <c r="DB145" s="247"/>
      <c r="DC145" s="247"/>
      <c r="DD145" s="247"/>
      <c r="DE145" s="247"/>
      <c r="DF145" s="247"/>
      <c r="DG145" s="247"/>
      <c r="DH145" s="247"/>
      <c r="DI145" s="247"/>
      <c r="DJ145" s="247"/>
      <c r="DK145" s="247"/>
      <c r="DL145" s="247"/>
      <c r="DM145" s="247"/>
      <c r="DN145" s="247"/>
      <c r="DO145" s="247"/>
      <c r="DP145" s="247"/>
      <c r="DQ145" s="247"/>
      <c r="DR145" s="247"/>
      <c r="DS145" s="247"/>
      <c r="DT145" s="247"/>
      <c r="DU145" s="247"/>
      <c r="DV145" s="247"/>
      <c r="DW145" s="247"/>
      <c r="DX145" s="247"/>
      <c r="DY145" s="247"/>
      <c r="DZ145" s="247"/>
      <c r="EA145" s="247"/>
      <c r="EB145" s="247"/>
      <c r="EC145" s="247"/>
      <c r="ED145" s="247"/>
      <c r="EE145" s="247"/>
      <c r="EF145" s="247"/>
      <c r="EG145" s="247"/>
      <c r="EH145" s="247"/>
      <c r="EI145" s="247"/>
      <c r="EJ145" s="247"/>
      <c r="EK145" s="247"/>
      <c r="EL145" s="247"/>
      <c r="EM145" s="247"/>
      <c r="EN145" s="247"/>
      <c r="EO145" s="247"/>
      <c r="EP145" s="247"/>
      <c r="EQ145" s="247"/>
      <c r="ER145" s="247"/>
      <c r="ES145" s="247"/>
      <c r="ET145" s="247"/>
      <c r="EU145" s="247"/>
      <c r="EV145" s="247"/>
      <c r="EW145" s="247"/>
      <c r="EX145" s="247"/>
      <c r="EY145" s="247"/>
      <c r="EZ145" s="247"/>
      <c r="FA145" s="247"/>
      <c r="FB145" s="247"/>
      <c r="FC145" s="247"/>
      <c r="FD145" s="247"/>
      <c r="FE145" s="247"/>
      <c r="FF145" s="247"/>
      <c r="FG145" s="247"/>
      <c r="FH145" s="247"/>
      <c r="FI145" s="247"/>
      <c r="FJ145" s="247"/>
      <c r="FK145" s="247"/>
      <c r="FL145" s="247"/>
      <c r="FM145" s="247"/>
      <c r="FN145" s="247"/>
      <c r="FO145" s="247"/>
      <c r="FP145" s="247"/>
      <c r="FQ145" s="247"/>
      <c r="FR145" s="247"/>
      <c r="FS145" s="247"/>
      <c r="FT145" s="247"/>
      <c r="FU145" s="247"/>
      <c r="FV145" s="247"/>
      <c r="FW145" s="247"/>
      <c r="FX145" s="247"/>
      <c r="FY145" s="247"/>
      <c r="FZ145" s="247"/>
      <c r="GA145" s="247"/>
      <c r="GB145" s="247"/>
      <c r="GC145" s="247"/>
      <c r="GD145" s="247"/>
      <c r="GE145" s="247"/>
      <c r="GF145" s="247"/>
      <c r="GG145" s="247"/>
      <c r="GH145" s="247"/>
      <c r="GI145" s="247"/>
      <c r="GJ145" s="247"/>
      <c r="GK145" s="247"/>
      <c r="GL145" s="247"/>
      <c r="GM145" s="247"/>
      <c r="GN145" s="247"/>
      <c r="GO145" s="247"/>
      <c r="GP145" s="247"/>
      <c r="GQ145" s="247"/>
      <c r="GR145" s="247"/>
      <c r="GS145" s="247"/>
      <c r="GT145" s="247"/>
      <c r="GU145" s="247"/>
      <c r="GV145" s="247"/>
      <c r="GW145" s="247"/>
      <c r="GX145" s="247"/>
      <c r="GY145" s="247"/>
      <c r="GZ145" s="247"/>
      <c r="HA145" s="247"/>
      <c r="HB145" s="247"/>
      <c r="HC145" s="247"/>
      <c r="HD145" s="247"/>
      <c r="HE145" s="247"/>
      <c r="HF145" s="247"/>
      <c r="HG145" s="247"/>
      <c r="HH145" s="247"/>
      <c r="HI145" s="247"/>
      <c r="HJ145" s="247"/>
      <c r="HK145" s="247"/>
      <c r="HL145" s="247"/>
      <c r="HM145" s="247"/>
      <c r="HN145" s="247"/>
      <c r="HO145" s="247"/>
      <c r="HP145" s="247"/>
      <c r="HQ145" s="247"/>
      <c r="HR145" s="247"/>
      <c r="HS145" s="247"/>
      <c r="HT145" s="247"/>
      <c r="HU145" s="247"/>
      <c r="HV145" s="247"/>
      <c r="HW145" s="247"/>
      <c r="HX145" s="247"/>
      <c r="HY145" s="247"/>
      <c r="HZ145" s="247"/>
      <c r="IA145" s="247"/>
      <c r="IB145" s="247"/>
      <c r="IC145" s="247"/>
      <c r="ID145" s="247"/>
      <c r="IE145" s="247"/>
      <c r="IF145" s="247"/>
      <c r="IG145" s="247"/>
      <c r="IH145" s="247"/>
      <c r="II145" s="247"/>
      <c r="IJ145" s="247"/>
      <c r="IK145" s="247"/>
      <c r="IL145" s="247"/>
      <c r="IM145" s="247"/>
      <c r="IN145" s="247"/>
    </row>
    <row r="146" spans="1:248" ht="15">
      <c r="A146" s="247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7"/>
      <c r="BM146" s="247"/>
      <c r="BN146" s="247"/>
      <c r="BO146" s="247"/>
      <c r="BP146" s="247"/>
      <c r="BQ146" s="247"/>
      <c r="BR146" s="247"/>
      <c r="BS146" s="247"/>
      <c r="BT146" s="247"/>
      <c r="BU146" s="247"/>
      <c r="BV146" s="247"/>
      <c r="BW146" s="247"/>
      <c r="BX146" s="247"/>
      <c r="BY146" s="247"/>
      <c r="BZ146" s="247"/>
      <c r="CA146" s="247"/>
      <c r="CB146" s="247"/>
      <c r="CC146" s="247"/>
      <c r="CD146" s="247"/>
      <c r="CE146" s="247"/>
      <c r="CF146" s="247"/>
      <c r="CG146" s="247"/>
      <c r="CH146" s="247"/>
      <c r="CI146" s="247"/>
      <c r="CJ146" s="247"/>
      <c r="CK146" s="247"/>
      <c r="CL146" s="247"/>
      <c r="CM146" s="247"/>
      <c r="CN146" s="247"/>
      <c r="CO146" s="247"/>
      <c r="CP146" s="247"/>
      <c r="CQ146" s="247"/>
      <c r="CR146" s="247"/>
      <c r="CS146" s="247"/>
      <c r="CT146" s="247"/>
      <c r="CU146" s="247"/>
      <c r="CV146" s="247"/>
      <c r="CW146" s="247"/>
      <c r="CX146" s="247"/>
      <c r="CY146" s="247"/>
      <c r="CZ146" s="247"/>
      <c r="DA146" s="247"/>
      <c r="DB146" s="247"/>
      <c r="DC146" s="247"/>
      <c r="DD146" s="247"/>
      <c r="DE146" s="247"/>
      <c r="DF146" s="247"/>
      <c r="DG146" s="247"/>
      <c r="DH146" s="247"/>
      <c r="DI146" s="247"/>
      <c r="DJ146" s="247"/>
      <c r="DK146" s="247"/>
      <c r="DL146" s="247"/>
      <c r="DM146" s="247"/>
      <c r="DN146" s="247"/>
      <c r="DO146" s="247"/>
      <c r="DP146" s="247"/>
      <c r="DQ146" s="247"/>
      <c r="DR146" s="247"/>
      <c r="DS146" s="247"/>
      <c r="DT146" s="247"/>
      <c r="DU146" s="247"/>
      <c r="DV146" s="247"/>
      <c r="DW146" s="247"/>
      <c r="DX146" s="247"/>
      <c r="DY146" s="247"/>
      <c r="DZ146" s="247"/>
      <c r="EA146" s="247"/>
      <c r="EB146" s="247"/>
      <c r="EC146" s="247"/>
      <c r="ED146" s="247"/>
      <c r="EE146" s="247"/>
      <c r="EF146" s="247"/>
      <c r="EG146" s="247"/>
      <c r="EH146" s="247"/>
      <c r="EI146" s="247"/>
      <c r="EJ146" s="247"/>
      <c r="EK146" s="247"/>
      <c r="EL146" s="247"/>
      <c r="EM146" s="247"/>
      <c r="EN146" s="247"/>
      <c r="EO146" s="247"/>
      <c r="EP146" s="247"/>
      <c r="EQ146" s="247"/>
      <c r="ER146" s="247"/>
      <c r="ES146" s="247"/>
      <c r="ET146" s="247"/>
      <c r="EU146" s="247"/>
      <c r="EV146" s="247"/>
      <c r="EW146" s="247"/>
      <c r="EX146" s="247"/>
      <c r="EY146" s="247"/>
      <c r="EZ146" s="247"/>
      <c r="FA146" s="247"/>
      <c r="FB146" s="247"/>
      <c r="FC146" s="247"/>
      <c r="FD146" s="247"/>
      <c r="FE146" s="247"/>
      <c r="FF146" s="247"/>
      <c r="FG146" s="247"/>
      <c r="FH146" s="247"/>
      <c r="FI146" s="247"/>
      <c r="FJ146" s="247"/>
      <c r="FK146" s="247"/>
      <c r="FL146" s="247"/>
      <c r="FM146" s="247"/>
      <c r="FN146" s="247"/>
      <c r="FO146" s="247"/>
      <c r="FP146" s="247"/>
      <c r="FQ146" s="247"/>
      <c r="FR146" s="247"/>
      <c r="FS146" s="247"/>
      <c r="FT146" s="247"/>
      <c r="FU146" s="247"/>
      <c r="FV146" s="247"/>
      <c r="FW146" s="247"/>
      <c r="FX146" s="247"/>
      <c r="FY146" s="247"/>
      <c r="FZ146" s="247"/>
      <c r="GA146" s="247"/>
      <c r="GB146" s="247"/>
      <c r="GC146" s="247"/>
      <c r="GD146" s="247"/>
      <c r="GE146" s="247"/>
      <c r="GF146" s="247"/>
      <c r="GG146" s="247"/>
      <c r="GH146" s="247"/>
      <c r="GI146" s="247"/>
      <c r="GJ146" s="247"/>
      <c r="GK146" s="247"/>
      <c r="GL146" s="247"/>
      <c r="GM146" s="247"/>
      <c r="GN146" s="247"/>
      <c r="GO146" s="247"/>
      <c r="GP146" s="247"/>
      <c r="GQ146" s="247"/>
      <c r="GR146" s="247"/>
      <c r="GS146" s="247"/>
      <c r="GT146" s="247"/>
      <c r="GU146" s="247"/>
      <c r="GV146" s="247"/>
      <c r="GW146" s="247"/>
      <c r="GX146" s="247"/>
      <c r="GY146" s="247"/>
      <c r="GZ146" s="247"/>
      <c r="HA146" s="247"/>
      <c r="HB146" s="247"/>
      <c r="HC146" s="247"/>
      <c r="HD146" s="247"/>
      <c r="HE146" s="247"/>
      <c r="HF146" s="247"/>
      <c r="HG146" s="247"/>
      <c r="HH146" s="247"/>
      <c r="HI146" s="247"/>
      <c r="HJ146" s="247"/>
      <c r="HK146" s="247"/>
      <c r="HL146" s="247"/>
      <c r="HM146" s="247"/>
      <c r="HN146" s="247"/>
      <c r="HO146" s="247"/>
      <c r="HP146" s="247"/>
      <c r="HQ146" s="247"/>
      <c r="HR146" s="247"/>
      <c r="HS146" s="247"/>
      <c r="HT146" s="247"/>
      <c r="HU146" s="247"/>
      <c r="HV146" s="247"/>
      <c r="HW146" s="247"/>
      <c r="HX146" s="247"/>
      <c r="HY146" s="247"/>
      <c r="HZ146" s="247"/>
      <c r="IA146" s="247"/>
      <c r="IB146" s="247"/>
      <c r="IC146" s="247"/>
      <c r="ID146" s="247"/>
      <c r="IE146" s="247"/>
      <c r="IF146" s="247"/>
      <c r="IG146" s="247"/>
      <c r="IH146" s="247"/>
      <c r="II146" s="247"/>
      <c r="IJ146" s="247"/>
      <c r="IK146" s="247"/>
      <c r="IL146" s="247"/>
      <c r="IM146" s="247"/>
      <c r="IN146" s="247"/>
    </row>
    <row r="147" spans="1:248" ht="15">
      <c r="A147" s="247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47"/>
      <c r="BO147" s="247"/>
      <c r="BP147" s="247"/>
      <c r="BQ147" s="247"/>
      <c r="BR147" s="247"/>
      <c r="BS147" s="247"/>
      <c r="BT147" s="247"/>
      <c r="BU147" s="247"/>
      <c r="BV147" s="247"/>
      <c r="BW147" s="247"/>
      <c r="BX147" s="247"/>
      <c r="BY147" s="247"/>
      <c r="BZ147" s="247"/>
      <c r="CA147" s="247"/>
      <c r="CB147" s="247"/>
      <c r="CC147" s="247"/>
      <c r="CD147" s="247"/>
      <c r="CE147" s="247"/>
      <c r="CF147" s="247"/>
      <c r="CG147" s="247"/>
      <c r="CH147" s="247"/>
      <c r="CI147" s="247"/>
      <c r="CJ147" s="247"/>
      <c r="CK147" s="247"/>
      <c r="CL147" s="247"/>
      <c r="CM147" s="247"/>
      <c r="CN147" s="247"/>
      <c r="CO147" s="247"/>
      <c r="CP147" s="247"/>
      <c r="CQ147" s="247"/>
      <c r="CR147" s="247"/>
      <c r="CS147" s="247"/>
      <c r="CT147" s="247"/>
      <c r="CU147" s="247"/>
      <c r="CV147" s="247"/>
      <c r="CW147" s="247"/>
      <c r="CX147" s="247"/>
      <c r="CY147" s="247"/>
      <c r="CZ147" s="247"/>
      <c r="DA147" s="247"/>
      <c r="DB147" s="247"/>
      <c r="DC147" s="247"/>
      <c r="DD147" s="247"/>
      <c r="DE147" s="247"/>
      <c r="DF147" s="247"/>
      <c r="DG147" s="247"/>
      <c r="DH147" s="247"/>
      <c r="DI147" s="247"/>
      <c r="DJ147" s="247"/>
      <c r="DK147" s="247"/>
      <c r="DL147" s="247"/>
      <c r="DM147" s="247"/>
      <c r="DN147" s="247"/>
      <c r="DO147" s="247"/>
      <c r="DP147" s="247"/>
      <c r="DQ147" s="247"/>
      <c r="DR147" s="247"/>
      <c r="DS147" s="247"/>
      <c r="DT147" s="247"/>
      <c r="DU147" s="247"/>
      <c r="DV147" s="247"/>
      <c r="DW147" s="247"/>
      <c r="DX147" s="247"/>
      <c r="DY147" s="247"/>
      <c r="DZ147" s="247"/>
      <c r="EA147" s="247"/>
      <c r="EB147" s="247"/>
      <c r="EC147" s="247"/>
      <c r="ED147" s="247"/>
      <c r="EE147" s="247"/>
      <c r="EF147" s="247"/>
      <c r="EG147" s="247"/>
      <c r="EH147" s="247"/>
      <c r="EI147" s="247"/>
      <c r="EJ147" s="247"/>
      <c r="EK147" s="247"/>
      <c r="EL147" s="247"/>
      <c r="EM147" s="247"/>
      <c r="EN147" s="247"/>
      <c r="EO147" s="247"/>
      <c r="EP147" s="247"/>
      <c r="EQ147" s="247"/>
      <c r="ER147" s="247"/>
      <c r="ES147" s="247"/>
      <c r="ET147" s="247"/>
      <c r="EU147" s="247"/>
      <c r="EV147" s="247"/>
      <c r="EW147" s="247"/>
      <c r="EX147" s="247"/>
      <c r="EY147" s="247"/>
      <c r="EZ147" s="247"/>
      <c r="FA147" s="247"/>
      <c r="FB147" s="247"/>
      <c r="FC147" s="247"/>
      <c r="FD147" s="247"/>
      <c r="FE147" s="247"/>
      <c r="FF147" s="247"/>
      <c r="FG147" s="247"/>
      <c r="FH147" s="247"/>
      <c r="FI147" s="247"/>
      <c r="FJ147" s="247"/>
      <c r="FK147" s="247"/>
      <c r="FL147" s="247"/>
      <c r="FM147" s="247"/>
      <c r="FN147" s="247"/>
      <c r="FO147" s="247"/>
      <c r="FP147" s="247"/>
      <c r="FQ147" s="247"/>
      <c r="FR147" s="247"/>
      <c r="FS147" s="247"/>
      <c r="FT147" s="247"/>
      <c r="FU147" s="247"/>
      <c r="FV147" s="247"/>
      <c r="FW147" s="247"/>
      <c r="FX147" s="247"/>
      <c r="FY147" s="247"/>
      <c r="FZ147" s="247"/>
      <c r="GA147" s="247"/>
      <c r="GB147" s="247"/>
      <c r="GC147" s="247"/>
      <c r="GD147" s="247"/>
      <c r="GE147" s="247"/>
      <c r="GF147" s="247"/>
      <c r="GG147" s="247"/>
      <c r="GH147" s="247"/>
      <c r="GI147" s="247"/>
      <c r="GJ147" s="247"/>
      <c r="GK147" s="247"/>
      <c r="GL147" s="247"/>
      <c r="GM147" s="247"/>
      <c r="GN147" s="247"/>
      <c r="GO147" s="247"/>
      <c r="GP147" s="247"/>
      <c r="GQ147" s="247"/>
      <c r="GR147" s="247"/>
      <c r="GS147" s="247"/>
      <c r="GT147" s="247"/>
      <c r="GU147" s="247"/>
      <c r="GV147" s="247"/>
      <c r="GW147" s="247"/>
      <c r="GX147" s="247"/>
      <c r="GY147" s="247"/>
      <c r="GZ147" s="247"/>
      <c r="HA147" s="247"/>
      <c r="HB147" s="247"/>
      <c r="HC147" s="247"/>
      <c r="HD147" s="247"/>
      <c r="HE147" s="247"/>
      <c r="HF147" s="247"/>
      <c r="HG147" s="247"/>
      <c r="HH147" s="247"/>
      <c r="HI147" s="247"/>
      <c r="HJ147" s="247"/>
      <c r="HK147" s="247"/>
      <c r="HL147" s="247"/>
      <c r="HM147" s="247"/>
      <c r="HN147" s="247"/>
      <c r="HO147" s="247"/>
      <c r="HP147" s="247"/>
      <c r="HQ147" s="247"/>
      <c r="HR147" s="247"/>
      <c r="HS147" s="247"/>
      <c r="HT147" s="247"/>
      <c r="HU147" s="247"/>
      <c r="HV147" s="247"/>
      <c r="HW147" s="247"/>
      <c r="HX147" s="247"/>
      <c r="HY147" s="247"/>
      <c r="HZ147" s="247"/>
      <c r="IA147" s="247"/>
      <c r="IB147" s="247"/>
      <c r="IC147" s="247"/>
      <c r="ID147" s="247"/>
      <c r="IE147" s="247"/>
      <c r="IF147" s="247"/>
      <c r="IG147" s="247"/>
      <c r="IH147" s="247"/>
      <c r="II147" s="247"/>
      <c r="IJ147" s="247"/>
      <c r="IK147" s="247"/>
      <c r="IL147" s="247"/>
      <c r="IM147" s="247"/>
      <c r="IN147" s="247"/>
    </row>
    <row r="148" spans="1:248" ht="15">
      <c r="A148" s="247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/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/>
      <c r="EY148" s="247"/>
      <c r="EZ148" s="247"/>
      <c r="FA148" s="247"/>
      <c r="FB148" s="247"/>
      <c r="FC148" s="247"/>
      <c r="FD148" s="247"/>
      <c r="FE148" s="247"/>
      <c r="FF148" s="247"/>
      <c r="FG148" s="247"/>
      <c r="FH148" s="247"/>
      <c r="FI148" s="247"/>
      <c r="FJ148" s="247"/>
      <c r="FK148" s="247"/>
      <c r="FL148" s="247"/>
      <c r="FM148" s="247"/>
      <c r="FN148" s="247"/>
      <c r="FO148" s="247"/>
      <c r="FP148" s="247"/>
      <c r="FQ148" s="247"/>
      <c r="FR148" s="247"/>
      <c r="FS148" s="247"/>
      <c r="FT148" s="247"/>
      <c r="FU148" s="247"/>
      <c r="FV148" s="247"/>
      <c r="FW148" s="247"/>
      <c r="FX148" s="247"/>
      <c r="FY148" s="247"/>
      <c r="FZ148" s="247"/>
      <c r="GA148" s="247"/>
      <c r="GB148" s="247"/>
      <c r="GC148" s="247"/>
      <c r="GD148" s="247"/>
      <c r="GE148" s="247"/>
      <c r="GF148" s="247"/>
      <c r="GG148" s="247"/>
      <c r="GH148" s="247"/>
      <c r="GI148" s="247"/>
      <c r="GJ148" s="247"/>
      <c r="GK148" s="247"/>
      <c r="GL148" s="247"/>
      <c r="GM148" s="247"/>
      <c r="GN148" s="247"/>
      <c r="GO148" s="247"/>
      <c r="GP148" s="247"/>
      <c r="GQ148" s="247"/>
      <c r="GR148" s="247"/>
      <c r="GS148" s="247"/>
      <c r="GT148" s="247"/>
      <c r="GU148" s="247"/>
      <c r="GV148" s="247"/>
      <c r="GW148" s="247"/>
      <c r="GX148" s="247"/>
      <c r="GY148" s="247"/>
      <c r="GZ148" s="247"/>
      <c r="HA148" s="247"/>
      <c r="HB148" s="247"/>
      <c r="HC148" s="247"/>
      <c r="HD148" s="247"/>
      <c r="HE148" s="247"/>
      <c r="HF148" s="247"/>
      <c r="HG148" s="247"/>
      <c r="HH148" s="247"/>
      <c r="HI148" s="247"/>
      <c r="HJ148" s="247"/>
      <c r="HK148" s="247"/>
      <c r="HL148" s="247"/>
      <c r="HM148" s="247"/>
      <c r="HN148" s="247"/>
      <c r="HO148" s="247"/>
      <c r="HP148" s="247"/>
      <c r="HQ148" s="247"/>
      <c r="HR148" s="247"/>
      <c r="HS148" s="247"/>
      <c r="HT148" s="247"/>
      <c r="HU148" s="247"/>
      <c r="HV148" s="247"/>
      <c r="HW148" s="247"/>
      <c r="HX148" s="247"/>
      <c r="HY148" s="247"/>
      <c r="HZ148" s="247"/>
      <c r="IA148" s="247"/>
      <c r="IB148" s="247"/>
      <c r="IC148" s="247"/>
      <c r="ID148" s="247"/>
      <c r="IE148" s="247"/>
      <c r="IF148" s="247"/>
      <c r="IG148" s="247"/>
      <c r="IH148" s="247"/>
      <c r="II148" s="247"/>
      <c r="IJ148" s="247"/>
      <c r="IK148" s="247"/>
      <c r="IL148" s="247"/>
      <c r="IM148" s="247"/>
      <c r="IN148" s="247"/>
    </row>
    <row r="149" spans="1:248" ht="15">
      <c r="A149" s="247"/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  <c r="EC149" s="247"/>
      <c r="ED149" s="247"/>
      <c r="EE149" s="247"/>
      <c r="EF149" s="247"/>
      <c r="EG149" s="247"/>
      <c r="EH149" s="247"/>
      <c r="EI149" s="247"/>
      <c r="EJ149" s="247"/>
      <c r="EK149" s="247"/>
      <c r="EL149" s="247"/>
      <c r="EM149" s="247"/>
      <c r="EN149" s="247"/>
      <c r="EO149" s="247"/>
      <c r="EP149" s="247"/>
      <c r="EQ149" s="247"/>
      <c r="ER149" s="247"/>
      <c r="ES149" s="247"/>
      <c r="ET149" s="247"/>
      <c r="EU149" s="247"/>
      <c r="EV149" s="247"/>
      <c r="EW149" s="247"/>
      <c r="EX149" s="247"/>
      <c r="EY149" s="247"/>
      <c r="EZ149" s="247"/>
      <c r="FA149" s="247"/>
      <c r="FB149" s="247"/>
      <c r="FC149" s="247"/>
      <c r="FD149" s="247"/>
      <c r="FE149" s="247"/>
      <c r="FF149" s="247"/>
      <c r="FG149" s="247"/>
      <c r="FH149" s="247"/>
      <c r="FI149" s="247"/>
      <c r="FJ149" s="247"/>
      <c r="FK149" s="247"/>
      <c r="FL149" s="247"/>
      <c r="FM149" s="247"/>
      <c r="FN149" s="247"/>
      <c r="FO149" s="247"/>
      <c r="FP149" s="247"/>
      <c r="FQ149" s="247"/>
      <c r="FR149" s="247"/>
      <c r="FS149" s="247"/>
      <c r="FT149" s="247"/>
      <c r="FU149" s="247"/>
      <c r="FV149" s="247"/>
      <c r="FW149" s="247"/>
      <c r="FX149" s="247"/>
      <c r="FY149" s="247"/>
      <c r="FZ149" s="247"/>
      <c r="GA149" s="247"/>
      <c r="GB149" s="247"/>
      <c r="GC149" s="247"/>
      <c r="GD149" s="247"/>
      <c r="GE149" s="247"/>
      <c r="GF149" s="247"/>
      <c r="GG149" s="247"/>
      <c r="GH149" s="247"/>
      <c r="GI149" s="247"/>
      <c r="GJ149" s="247"/>
      <c r="GK149" s="247"/>
      <c r="GL149" s="247"/>
      <c r="GM149" s="247"/>
      <c r="GN149" s="247"/>
      <c r="GO149" s="247"/>
      <c r="GP149" s="247"/>
      <c r="GQ149" s="247"/>
      <c r="GR149" s="247"/>
      <c r="GS149" s="247"/>
      <c r="GT149" s="247"/>
      <c r="GU149" s="247"/>
      <c r="GV149" s="247"/>
      <c r="GW149" s="247"/>
      <c r="GX149" s="247"/>
      <c r="GY149" s="247"/>
      <c r="GZ149" s="247"/>
      <c r="HA149" s="247"/>
      <c r="HB149" s="247"/>
      <c r="HC149" s="247"/>
      <c r="HD149" s="247"/>
      <c r="HE149" s="247"/>
      <c r="HF149" s="247"/>
      <c r="HG149" s="247"/>
      <c r="HH149" s="247"/>
      <c r="HI149" s="247"/>
      <c r="HJ149" s="247"/>
      <c r="HK149" s="247"/>
      <c r="HL149" s="247"/>
      <c r="HM149" s="247"/>
      <c r="HN149" s="247"/>
      <c r="HO149" s="247"/>
      <c r="HP149" s="247"/>
      <c r="HQ149" s="247"/>
      <c r="HR149" s="247"/>
      <c r="HS149" s="247"/>
      <c r="HT149" s="247"/>
      <c r="HU149" s="247"/>
      <c r="HV149" s="247"/>
      <c r="HW149" s="247"/>
      <c r="HX149" s="247"/>
      <c r="HY149" s="247"/>
      <c r="HZ149" s="247"/>
      <c r="IA149" s="247"/>
      <c r="IB149" s="247"/>
      <c r="IC149" s="247"/>
      <c r="ID149" s="247"/>
      <c r="IE149" s="247"/>
      <c r="IF149" s="247"/>
      <c r="IG149" s="247"/>
      <c r="IH149" s="247"/>
      <c r="II149" s="247"/>
      <c r="IJ149" s="247"/>
      <c r="IK149" s="247"/>
      <c r="IL149" s="247"/>
      <c r="IM149" s="247"/>
      <c r="IN149" s="247"/>
    </row>
    <row r="150" spans="1:248" ht="15">
      <c r="A150" s="247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  <c r="EC150" s="247"/>
      <c r="ED150" s="247"/>
      <c r="EE150" s="247"/>
      <c r="EF150" s="247"/>
      <c r="EG150" s="247"/>
      <c r="EH150" s="247"/>
      <c r="EI150" s="247"/>
      <c r="EJ150" s="247"/>
      <c r="EK150" s="247"/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7"/>
      <c r="FI150" s="247"/>
      <c r="FJ150" s="247"/>
      <c r="FK150" s="247"/>
      <c r="FL150" s="247"/>
      <c r="FM150" s="247"/>
      <c r="FN150" s="247"/>
      <c r="FO150" s="247"/>
      <c r="FP150" s="247"/>
      <c r="FQ150" s="247"/>
      <c r="FR150" s="247"/>
      <c r="FS150" s="247"/>
      <c r="FT150" s="247"/>
      <c r="FU150" s="247"/>
      <c r="FV150" s="247"/>
      <c r="FW150" s="247"/>
      <c r="FX150" s="247"/>
      <c r="FY150" s="247"/>
      <c r="FZ150" s="247"/>
      <c r="GA150" s="247"/>
      <c r="GB150" s="247"/>
      <c r="GC150" s="247"/>
      <c r="GD150" s="247"/>
      <c r="GE150" s="247"/>
      <c r="GF150" s="247"/>
      <c r="GG150" s="247"/>
      <c r="GH150" s="247"/>
      <c r="GI150" s="247"/>
      <c r="GJ150" s="247"/>
      <c r="GK150" s="247"/>
      <c r="GL150" s="247"/>
      <c r="GM150" s="247"/>
      <c r="GN150" s="247"/>
      <c r="GO150" s="247"/>
      <c r="GP150" s="247"/>
      <c r="GQ150" s="247"/>
      <c r="GR150" s="247"/>
      <c r="GS150" s="247"/>
      <c r="GT150" s="247"/>
      <c r="GU150" s="247"/>
      <c r="GV150" s="247"/>
      <c r="GW150" s="247"/>
      <c r="GX150" s="247"/>
      <c r="GY150" s="247"/>
      <c r="GZ150" s="247"/>
      <c r="HA150" s="247"/>
      <c r="HB150" s="247"/>
      <c r="HC150" s="247"/>
      <c r="HD150" s="247"/>
      <c r="HE150" s="247"/>
      <c r="HF150" s="247"/>
      <c r="HG150" s="247"/>
      <c r="HH150" s="247"/>
      <c r="HI150" s="247"/>
      <c r="HJ150" s="247"/>
      <c r="HK150" s="247"/>
      <c r="HL150" s="247"/>
      <c r="HM150" s="247"/>
      <c r="HN150" s="247"/>
      <c r="HO150" s="247"/>
      <c r="HP150" s="247"/>
      <c r="HQ150" s="247"/>
      <c r="HR150" s="247"/>
      <c r="HS150" s="247"/>
      <c r="HT150" s="247"/>
      <c r="HU150" s="247"/>
      <c r="HV150" s="247"/>
      <c r="HW150" s="247"/>
      <c r="HX150" s="247"/>
      <c r="HY150" s="247"/>
      <c r="HZ150" s="247"/>
      <c r="IA150" s="247"/>
      <c r="IB150" s="247"/>
      <c r="IC150" s="247"/>
      <c r="ID150" s="247"/>
      <c r="IE150" s="247"/>
      <c r="IF150" s="247"/>
      <c r="IG150" s="247"/>
      <c r="IH150" s="247"/>
      <c r="II150" s="247"/>
      <c r="IJ150" s="247"/>
      <c r="IK150" s="247"/>
      <c r="IL150" s="247"/>
      <c r="IM150" s="247"/>
      <c r="IN150" s="247"/>
    </row>
    <row r="151" spans="1:248" ht="15">
      <c r="A151" s="247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  <c r="EC151" s="247"/>
      <c r="ED151" s="247"/>
      <c r="EE151" s="247"/>
      <c r="EF151" s="247"/>
      <c r="EG151" s="247"/>
      <c r="EH151" s="247"/>
      <c r="EI151" s="247"/>
      <c r="EJ151" s="247"/>
      <c r="EK151" s="247"/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7"/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  <c r="FH151" s="247"/>
      <c r="FI151" s="247"/>
      <c r="FJ151" s="247"/>
      <c r="FK151" s="247"/>
      <c r="FL151" s="247"/>
      <c r="FM151" s="247"/>
      <c r="FN151" s="247"/>
      <c r="FO151" s="247"/>
      <c r="FP151" s="247"/>
      <c r="FQ151" s="247"/>
      <c r="FR151" s="247"/>
      <c r="FS151" s="247"/>
      <c r="FT151" s="247"/>
      <c r="FU151" s="247"/>
      <c r="FV151" s="247"/>
      <c r="FW151" s="247"/>
      <c r="FX151" s="247"/>
      <c r="FY151" s="247"/>
      <c r="FZ151" s="247"/>
      <c r="GA151" s="247"/>
      <c r="GB151" s="247"/>
      <c r="GC151" s="247"/>
      <c r="GD151" s="247"/>
      <c r="GE151" s="247"/>
      <c r="GF151" s="247"/>
      <c r="GG151" s="247"/>
      <c r="GH151" s="247"/>
      <c r="GI151" s="247"/>
      <c r="GJ151" s="247"/>
      <c r="GK151" s="247"/>
      <c r="GL151" s="247"/>
      <c r="GM151" s="247"/>
      <c r="GN151" s="247"/>
      <c r="GO151" s="247"/>
      <c r="GP151" s="247"/>
      <c r="GQ151" s="247"/>
      <c r="GR151" s="247"/>
      <c r="GS151" s="247"/>
      <c r="GT151" s="247"/>
      <c r="GU151" s="247"/>
      <c r="GV151" s="247"/>
      <c r="GW151" s="247"/>
      <c r="GX151" s="247"/>
      <c r="GY151" s="247"/>
      <c r="GZ151" s="247"/>
      <c r="HA151" s="247"/>
      <c r="HB151" s="247"/>
      <c r="HC151" s="247"/>
      <c r="HD151" s="247"/>
      <c r="HE151" s="247"/>
      <c r="HF151" s="247"/>
      <c r="HG151" s="247"/>
      <c r="HH151" s="247"/>
      <c r="HI151" s="247"/>
      <c r="HJ151" s="247"/>
      <c r="HK151" s="247"/>
      <c r="HL151" s="247"/>
      <c r="HM151" s="247"/>
      <c r="HN151" s="247"/>
      <c r="HO151" s="247"/>
      <c r="HP151" s="247"/>
      <c r="HQ151" s="247"/>
      <c r="HR151" s="247"/>
      <c r="HS151" s="247"/>
      <c r="HT151" s="247"/>
      <c r="HU151" s="247"/>
      <c r="HV151" s="247"/>
      <c r="HW151" s="247"/>
      <c r="HX151" s="247"/>
      <c r="HY151" s="247"/>
      <c r="HZ151" s="247"/>
      <c r="IA151" s="247"/>
      <c r="IB151" s="247"/>
      <c r="IC151" s="247"/>
      <c r="ID151" s="247"/>
      <c r="IE151" s="247"/>
      <c r="IF151" s="247"/>
      <c r="IG151" s="247"/>
      <c r="IH151" s="247"/>
      <c r="II151" s="247"/>
      <c r="IJ151" s="247"/>
      <c r="IK151" s="247"/>
      <c r="IL151" s="247"/>
      <c r="IM151" s="247"/>
      <c r="IN151" s="247"/>
    </row>
    <row r="152" spans="1:248" ht="15">
      <c r="A152" s="247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  <c r="CR152" s="247"/>
      <c r="CS152" s="247"/>
      <c r="CT152" s="247"/>
      <c r="CU152" s="247"/>
      <c r="CV152" s="247"/>
      <c r="CW152" s="247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7"/>
      <c r="FD152" s="247"/>
      <c r="FE152" s="247"/>
      <c r="FF152" s="247"/>
      <c r="FG152" s="247"/>
      <c r="FH152" s="247"/>
      <c r="FI152" s="247"/>
      <c r="FJ152" s="247"/>
      <c r="FK152" s="247"/>
      <c r="FL152" s="247"/>
      <c r="FM152" s="247"/>
      <c r="FN152" s="247"/>
      <c r="FO152" s="247"/>
      <c r="FP152" s="247"/>
      <c r="FQ152" s="247"/>
      <c r="FR152" s="247"/>
      <c r="FS152" s="247"/>
      <c r="FT152" s="247"/>
      <c r="FU152" s="247"/>
      <c r="FV152" s="247"/>
      <c r="FW152" s="247"/>
      <c r="FX152" s="247"/>
      <c r="FY152" s="247"/>
      <c r="FZ152" s="247"/>
      <c r="GA152" s="247"/>
      <c r="GB152" s="247"/>
      <c r="GC152" s="247"/>
      <c r="GD152" s="247"/>
      <c r="GE152" s="247"/>
      <c r="GF152" s="247"/>
      <c r="GG152" s="247"/>
      <c r="GH152" s="247"/>
      <c r="GI152" s="247"/>
      <c r="GJ152" s="247"/>
      <c r="GK152" s="247"/>
      <c r="GL152" s="247"/>
      <c r="GM152" s="247"/>
      <c r="GN152" s="247"/>
      <c r="GO152" s="247"/>
      <c r="GP152" s="247"/>
      <c r="GQ152" s="247"/>
      <c r="GR152" s="247"/>
      <c r="GS152" s="247"/>
      <c r="GT152" s="247"/>
      <c r="GU152" s="247"/>
      <c r="GV152" s="247"/>
      <c r="GW152" s="247"/>
      <c r="GX152" s="247"/>
      <c r="GY152" s="247"/>
      <c r="GZ152" s="247"/>
      <c r="HA152" s="247"/>
      <c r="HB152" s="247"/>
      <c r="HC152" s="247"/>
      <c r="HD152" s="247"/>
      <c r="HE152" s="247"/>
      <c r="HF152" s="247"/>
      <c r="HG152" s="247"/>
      <c r="HH152" s="247"/>
      <c r="HI152" s="247"/>
      <c r="HJ152" s="247"/>
      <c r="HK152" s="247"/>
      <c r="HL152" s="247"/>
      <c r="HM152" s="247"/>
      <c r="HN152" s="247"/>
      <c r="HO152" s="247"/>
      <c r="HP152" s="247"/>
      <c r="HQ152" s="247"/>
      <c r="HR152" s="247"/>
      <c r="HS152" s="247"/>
      <c r="HT152" s="247"/>
      <c r="HU152" s="247"/>
      <c r="HV152" s="247"/>
      <c r="HW152" s="247"/>
      <c r="HX152" s="247"/>
      <c r="HY152" s="247"/>
      <c r="HZ152" s="247"/>
      <c r="IA152" s="247"/>
      <c r="IB152" s="247"/>
      <c r="IC152" s="247"/>
      <c r="ID152" s="247"/>
      <c r="IE152" s="247"/>
      <c r="IF152" s="247"/>
      <c r="IG152" s="247"/>
      <c r="IH152" s="247"/>
      <c r="II152" s="247"/>
      <c r="IJ152" s="247"/>
      <c r="IK152" s="247"/>
      <c r="IL152" s="247"/>
      <c r="IM152" s="247"/>
      <c r="IN152" s="247"/>
    </row>
    <row r="153" spans="1:248" ht="15">
      <c r="A153" s="247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W153" s="247"/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7"/>
      <c r="CH153" s="247"/>
      <c r="CI153" s="247"/>
      <c r="CJ153" s="247"/>
      <c r="CK153" s="247"/>
      <c r="CL153" s="247"/>
      <c r="CM153" s="247"/>
      <c r="CN153" s="247"/>
      <c r="CO153" s="247"/>
      <c r="CP153" s="247"/>
      <c r="CQ153" s="247"/>
      <c r="CR153" s="247"/>
      <c r="CS153" s="247"/>
      <c r="CT153" s="247"/>
      <c r="CU153" s="247"/>
      <c r="CV153" s="247"/>
      <c r="CW153" s="247"/>
      <c r="CX153" s="247"/>
      <c r="CY153" s="247"/>
      <c r="CZ153" s="247"/>
      <c r="DA153" s="247"/>
      <c r="DB153" s="247"/>
      <c r="DC153" s="247"/>
      <c r="DD153" s="247"/>
      <c r="DE153" s="247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  <c r="EC153" s="247"/>
      <c r="ED153" s="247"/>
      <c r="EE153" s="247"/>
      <c r="EF153" s="247"/>
      <c r="EG153" s="247"/>
      <c r="EH153" s="247"/>
      <c r="EI153" s="247"/>
      <c r="EJ153" s="247"/>
      <c r="EK153" s="247"/>
      <c r="EL153" s="247"/>
      <c r="EM153" s="247"/>
      <c r="EN153" s="247"/>
      <c r="EO153" s="247"/>
      <c r="EP153" s="247"/>
      <c r="EQ153" s="247"/>
      <c r="ER153" s="247"/>
      <c r="ES153" s="247"/>
      <c r="ET153" s="247"/>
      <c r="EU153" s="247"/>
      <c r="EV153" s="247"/>
      <c r="EW153" s="247"/>
      <c r="EX153" s="247"/>
      <c r="EY153" s="247"/>
      <c r="EZ153" s="247"/>
      <c r="FA153" s="247"/>
      <c r="FB153" s="247"/>
      <c r="FC153" s="247"/>
      <c r="FD153" s="247"/>
      <c r="FE153" s="247"/>
      <c r="FF153" s="247"/>
      <c r="FG153" s="247"/>
      <c r="FH153" s="247"/>
      <c r="FI153" s="247"/>
      <c r="FJ153" s="247"/>
      <c r="FK153" s="247"/>
      <c r="FL153" s="247"/>
      <c r="FM153" s="247"/>
      <c r="FN153" s="247"/>
      <c r="FO153" s="247"/>
      <c r="FP153" s="247"/>
      <c r="FQ153" s="247"/>
      <c r="FR153" s="247"/>
      <c r="FS153" s="247"/>
      <c r="FT153" s="247"/>
      <c r="FU153" s="247"/>
      <c r="FV153" s="247"/>
      <c r="FW153" s="247"/>
      <c r="FX153" s="247"/>
      <c r="FY153" s="247"/>
      <c r="FZ153" s="247"/>
      <c r="GA153" s="247"/>
      <c r="GB153" s="247"/>
      <c r="GC153" s="247"/>
      <c r="GD153" s="247"/>
      <c r="GE153" s="247"/>
      <c r="GF153" s="247"/>
      <c r="GG153" s="247"/>
      <c r="GH153" s="247"/>
      <c r="GI153" s="247"/>
      <c r="GJ153" s="247"/>
      <c r="GK153" s="247"/>
      <c r="GL153" s="247"/>
      <c r="GM153" s="247"/>
      <c r="GN153" s="247"/>
      <c r="GO153" s="247"/>
      <c r="GP153" s="247"/>
      <c r="GQ153" s="247"/>
      <c r="GR153" s="247"/>
      <c r="GS153" s="247"/>
      <c r="GT153" s="247"/>
      <c r="GU153" s="247"/>
      <c r="GV153" s="247"/>
      <c r="GW153" s="247"/>
      <c r="GX153" s="247"/>
      <c r="GY153" s="247"/>
      <c r="GZ153" s="247"/>
      <c r="HA153" s="247"/>
      <c r="HB153" s="247"/>
      <c r="HC153" s="247"/>
      <c r="HD153" s="247"/>
      <c r="HE153" s="247"/>
      <c r="HF153" s="247"/>
      <c r="HG153" s="247"/>
      <c r="HH153" s="247"/>
      <c r="HI153" s="247"/>
      <c r="HJ153" s="247"/>
      <c r="HK153" s="247"/>
      <c r="HL153" s="247"/>
      <c r="HM153" s="247"/>
      <c r="HN153" s="247"/>
      <c r="HO153" s="247"/>
      <c r="HP153" s="247"/>
      <c r="HQ153" s="247"/>
      <c r="HR153" s="247"/>
      <c r="HS153" s="247"/>
      <c r="HT153" s="247"/>
      <c r="HU153" s="247"/>
      <c r="HV153" s="247"/>
      <c r="HW153" s="247"/>
      <c r="HX153" s="247"/>
      <c r="HY153" s="247"/>
      <c r="HZ153" s="247"/>
      <c r="IA153" s="247"/>
      <c r="IB153" s="247"/>
      <c r="IC153" s="247"/>
      <c r="ID153" s="247"/>
      <c r="IE153" s="247"/>
      <c r="IF153" s="247"/>
      <c r="IG153" s="247"/>
      <c r="IH153" s="247"/>
      <c r="II153" s="247"/>
      <c r="IJ153" s="247"/>
      <c r="IK153" s="247"/>
      <c r="IL153" s="247"/>
      <c r="IM153" s="247"/>
      <c r="IN153" s="247"/>
    </row>
    <row r="154" spans="1:248" ht="15">
      <c r="A154" s="247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  <c r="DB154" s="247"/>
      <c r="DC154" s="247"/>
      <c r="DD154" s="247"/>
      <c r="DE154" s="247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  <c r="EC154" s="247"/>
      <c r="ED154" s="247"/>
      <c r="EE154" s="247"/>
      <c r="EF154" s="247"/>
      <c r="EG154" s="247"/>
      <c r="EH154" s="247"/>
      <c r="EI154" s="247"/>
      <c r="EJ154" s="247"/>
      <c r="EK154" s="247"/>
      <c r="EL154" s="247"/>
      <c r="EM154" s="247"/>
      <c r="EN154" s="247"/>
      <c r="EO154" s="247"/>
      <c r="EP154" s="247"/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  <c r="FK154" s="247"/>
      <c r="FL154" s="247"/>
      <c r="FM154" s="247"/>
      <c r="FN154" s="247"/>
      <c r="FO154" s="247"/>
      <c r="FP154" s="247"/>
      <c r="FQ154" s="247"/>
      <c r="FR154" s="247"/>
      <c r="FS154" s="247"/>
      <c r="FT154" s="247"/>
      <c r="FU154" s="247"/>
      <c r="FV154" s="247"/>
      <c r="FW154" s="247"/>
      <c r="FX154" s="247"/>
      <c r="FY154" s="247"/>
      <c r="FZ154" s="247"/>
      <c r="GA154" s="247"/>
      <c r="GB154" s="247"/>
      <c r="GC154" s="247"/>
      <c r="GD154" s="247"/>
      <c r="GE154" s="247"/>
      <c r="GF154" s="247"/>
      <c r="GG154" s="247"/>
      <c r="GH154" s="247"/>
      <c r="GI154" s="247"/>
      <c r="GJ154" s="247"/>
      <c r="GK154" s="247"/>
      <c r="GL154" s="247"/>
      <c r="GM154" s="247"/>
      <c r="GN154" s="247"/>
      <c r="GO154" s="247"/>
      <c r="GP154" s="247"/>
      <c r="GQ154" s="247"/>
      <c r="GR154" s="247"/>
      <c r="GS154" s="247"/>
      <c r="GT154" s="247"/>
      <c r="GU154" s="247"/>
      <c r="GV154" s="247"/>
      <c r="GW154" s="247"/>
      <c r="GX154" s="247"/>
      <c r="GY154" s="247"/>
      <c r="GZ154" s="247"/>
      <c r="HA154" s="247"/>
      <c r="HB154" s="247"/>
      <c r="HC154" s="247"/>
      <c r="HD154" s="247"/>
      <c r="HE154" s="247"/>
      <c r="HF154" s="247"/>
      <c r="HG154" s="247"/>
      <c r="HH154" s="247"/>
      <c r="HI154" s="247"/>
      <c r="HJ154" s="247"/>
      <c r="HK154" s="247"/>
      <c r="HL154" s="247"/>
      <c r="HM154" s="247"/>
      <c r="HN154" s="247"/>
      <c r="HO154" s="247"/>
      <c r="HP154" s="247"/>
      <c r="HQ154" s="247"/>
      <c r="HR154" s="247"/>
      <c r="HS154" s="247"/>
      <c r="HT154" s="247"/>
      <c r="HU154" s="247"/>
      <c r="HV154" s="247"/>
      <c r="HW154" s="247"/>
      <c r="HX154" s="247"/>
      <c r="HY154" s="247"/>
      <c r="HZ154" s="247"/>
      <c r="IA154" s="247"/>
      <c r="IB154" s="247"/>
      <c r="IC154" s="247"/>
      <c r="ID154" s="247"/>
      <c r="IE154" s="247"/>
      <c r="IF154" s="247"/>
      <c r="IG154" s="247"/>
      <c r="IH154" s="247"/>
      <c r="II154" s="247"/>
      <c r="IJ154" s="247"/>
      <c r="IK154" s="247"/>
      <c r="IL154" s="247"/>
      <c r="IM154" s="247"/>
      <c r="IN154" s="247"/>
    </row>
    <row r="155" spans="1:248" ht="15">
      <c r="A155" s="247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7"/>
      <c r="BV155" s="247"/>
      <c r="BW155" s="247"/>
      <c r="BX155" s="247"/>
      <c r="BY155" s="247"/>
      <c r="BZ155" s="247"/>
      <c r="CA155" s="247"/>
      <c r="CB155" s="247"/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7"/>
      <c r="CM155" s="247"/>
      <c r="CN155" s="247"/>
      <c r="CO155" s="247"/>
      <c r="CP155" s="247"/>
      <c r="CQ155" s="247"/>
      <c r="CR155" s="247"/>
      <c r="CS155" s="247"/>
      <c r="CT155" s="247"/>
      <c r="CU155" s="247"/>
      <c r="CV155" s="247"/>
      <c r="CW155" s="247"/>
      <c r="CX155" s="247"/>
      <c r="CY155" s="247"/>
      <c r="CZ155" s="247"/>
      <c r="DA155" s="247"/>
      <c r="DB155" s="247"/>
      <c r="DC155" s="247"/>
      <c r="DD155" s="247"/>
      <c r="DE155" s="247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  <c r="EC155" s="247"/>
      <c r="ED155" s="247"/>
      <c r="EE155" s="247"/>
      <c r="EF155" s="247"/>
      <c r="EG155" s="247"/>
      <c r="EH155" s="247"/>
      <c r="EI155" s="247"/>
      <c r="EJ155" s="247"/>
      <c r="EK155" s="247"/>
      <c r="EL155" s="247"/>
      <c r="EM155" s="247"/>
      <c r="EN155" s="247"/>
      <c r="EO155" s="247"/>
      <c r="EP155" s="247"/>
      <c r="EQ155" s="247"/>
      <c r="ER155" s="247"/>
      <c r="ES155" s="247"/>
      <c r="ET155" s="247"/>
      <c r="EU155" s="247"/>
      <c r="EV155" s="247"/>
      <c r="EW155" s="247"/>
      <c r="EX155" s="247"/>
      <c r="EY155" s="247"/>
      <c r="EZ155" s="247"/>
      <c r="FA155" s="247"/>
      <c r="FB155" s="247"/>
      <c r="FC155" s="247"/>
      <c r="FD155" s="247"/>
      <c r="FE155" s="247"/>
      <c r="FF155" s="247"/>
      <c r="FG155" s="247"/>
      <c r="FH155" s="247"/>
      <c r="FI155" s="247"/>
      <c r="FJ155" s="247"/>
      <c r="FK155" s="247"/>
      <c r="FL155" s="247"/>
      <c r="FM155" s="247"/>
      <c r="FN155" s="247"/>
      <c r="FO155" s="247"/>
      <c r="FP155" s="247"/>
      <c r="FQ155" s="247"/>
      <c r="FR155" s="247"/>
      <c r="FS155" s="247"/>
      <c r="FT155" s="247"/>
      <c r="FU155" s="247"/>
      <c r="FV155" s="247"/>
      <c r="FW155" s="247"/>
      <c r="FX155" s="247"/>
      <c r="FY155" s="247"/>
      <c r="FZ155" s="247"/>
      <c r="GA155" s="247"/>
      <c r="GB155" s="247"/>
      <c r="GC155" s="247"/>
      <c r="GD155" s="247"/>
      <c r="GE155" s="247"/>
      <c r="GF155" s="247"/>
      <c r="GG155" s="247"/>
      <c r="GH155" s="247"/>
      <c r="GI155" s="247"/>
      <c r="GJ155" s="247"/>
      <c r="GK155" s="247"/>
      <c r="GL155" s="247"/>
      <c r="GM155" s="247"/>
      <c r="GN155" s="247"/>
      <c r="GO155" s="247"/>
      <c r="GP155" s="247"/>
      <c r="GQ155" s="247"/>
      <c r="GR155" s="247"/>
      <c r="GS155" s="247"/>
      <c r="GT155" s="247"/>
      <c r="GU155" s="247"/>
      <c r="GV155" s="247"/>
      <c r="GW155" s="247"/>
      <c r="GX155" s="247"/>
      <c r="GY155" s="247"/>
      <c r="GZ155" s="247"/>
      <c r="HA155" s="247"/>
      <c r="HB155" s="247"/>
      <c r="HC155" s="247"/>
      <c r="HD155" s="247"/>
      <c r="HE155" s="247"/>
      <c r="HF155" s="247"/>
      <c r="HG155" s="247"/>
      <c r="HH155" s="247"/>
      <c r="HI155" s="247"/>
      <c r="HJ155" s="247"/>
      <c r="HK155" s="247"/>
      <c r="HL155" s="247"/>
      <c r="HM155" s="247"/>
      <c r="HN155" s="247"/>
      <c r="HO155" s="247"/>
      <c r="HP155" s="247"/>
      <c r="HQ155" s="247"/>
      <c r="HR155" s="247"/>
      <c r="HS155" s="247"/>
      <c r="HT155" s="247"/>
      <c r="HU155" s="247"/>
      <c r="HV155" s="247"/>
      <c r="HW155" s="247"/>
      <c r="HX155" s="247"/>
      <c r="HY155" s="247"/>
      <c r="HZ155" s="247"/>
      <c r="IA155" s="247"/>
      <c r="IB155" s="247"/>
      <c r="IC155" s="247"/>
      <c r="ID155" s="247"/>
      <c r="IE155" s="247"/>
      <c r="IF155" s="247"/>
      <c r="IG155" s="247"/>
      <c r="IH155" s="247"/>
      <c r="II155" s="247"/>
      <c r="IJ155" s="247"/>
      <c r="IK155" s="247"/>
      <c r="IL155" s="247"/>
      <c r="IM155" s="247"/>
      <c r="IN155" s="247"/>
    </row>
    <row r="156" spans="1:248" ht="15">
      <c r="A156" s="247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7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  <c r="EC156" s="247"/>
      <c r="ED156" s="247"/>
      <c r="EE156" s="247"/>
      <c r="EF156" s="247"/>
      <c r="EG156" s="247"/>
      <c r="EH156" s="247"/>
      <c r="EI156" s="247"/>
      <c r="EJ156" s="247"/>
      <c r="EK156" s="247"/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7"/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  <c r="FH156" s="247"/>
      <c r="FI156" s="247"/>
      <c r="FJ156" s="247"/>
      <c r="FK156" s="247"/>
      <c r="FL156" s="247"/>
      <c r="FM156" s="247"/>
      <c r="FN156" s="247"/>
      <c r="FO156" s="247"/>
      <c r="FP156" s="247"/>
      <c r="FQ156" s="247"/>
      <c r="FR156" s="247"/>
      <c r="FS156" s="247"/>
      <c r="FT156" s="247"/>
      <c r="FU156" s="247"/>
      <c r="FV156" s="247"/>
      <c r="FW156" s="247"/>
      <c r="FX156" s="247"/>
      <c r="FY156" s="247"/>
      <c r="FZ156" s="247"/>
      <c r="GA156" s="247"/>
      <c r="GB156" s="247"/>
      <c r="GC156" s="247"/>
      <c r="GD156" s="247"/>
      <c r="GE156" s="247"/>
      <c r="GF156" s="247"/>
      <c r="GG156" s="247"/>
      <c r="GH156" s="247"/>
      <c r="GI156" s="247"/>
      <c r="GJ156" s="247"/>
      <c r="GK156" s="247"/>
      <c r="GL156" s="247"/>
      <c r="GM156" s="247"/>
      <c r="GN156" s="247"/>
      <c r="GO156" s="247"/>
      <c r="GP156" s="247"/>
      <c r="GQ156" s="247"/>
      <c r="GR156" s="247"/>
      <c r="GS156" s="247"/>
      <c r="GT156" s="247"/>
      <c r="GU156" s="247"/>
      <c r="GV156" s="247"/>
      <c r="GW156" s="247"/>
      <c r="GX156" s="247"/>
      <c r="GY156" s="247"/>
      <c r="GZ156" s="247"/>
      <c r="HA156" s="247"/>
      <c r="HB156" s="247"/>
      <c r="HC156" s="247"/>
      <c r="HD156" s="247"/>
      <c r="HE156" s="247"/>
      <c r="HF156" s="247"/>
      <c r="HG156" s="247"/>
      <c r="HH156" s="247"/>
      <c r="HI156" s="247"/>
      <c r="HJ156" s="247"/>
      <c r="HK156" s="247"/>
      <c r="HL156" s="247"/>
      <c r="HM156" s="247"/>
      <c r="HN156" s="247"/>
      <c r="HO156" s="247"/>
      <c r="HP156" s="247"/>
      <c r="HQ156" s="247"/>
      <c r="HR156" s="247"/>
      <c r="HS156" s="247"/>
      <c r="HT156" s="247"/>
      <c r="HU156" s="247"/>
      <c r="HV156" s="247"/>
      <c r="HW156" s="247"/>
      <c r="HX156" s="247"/>
      <c r="HY156" s="247"/>
      <c r="HZ156" s="247"/>
      <c r="IA156" s="247"/>
      <c r="IB156" s="247"/>
      <c r="IC156" s="247"/>
      <c r="ID156" s="247"/>
      <c r="IE156" s="247"/>
      <c r="IF156" s="247"/>
      <c r="IG156" s="247"/>
      <c r="IH156" s="247"/>
      <c r="II156" s="247"/>
      <c r="IJ156" s="247"/>
      <c r="IK156" s="247"/>
      <c r="IL156" s="247"/>
      <c r="IM156" s="247"/>
      <c r="IN156" s="247"/>
    </row>
    <row r="157" spans="1:248" ht="15">
      <c r="A157" s="247"/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7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  <c r="EC157" s="247"/>
      <c r="ED157" s="247"/>
      <c r="EE157" s="247"/>
      <c r="EF157" s="247"/>
      <c r="EG157" s="247"/>
      <c r="EH157" s="247"/>
      <c r="EI157" s="247"/>
      <c r="EJ157" s="247"/>
      <c r="EK157" s="247"/>
      <c r="EL157" s="247"/>
      <c r="EM157" s="247"/>
      <c r="EN157" s="247"/>
      <c r="EO157" s="247"/>
      <c r="EP157" s="247"/>
      <c r="EQ157" s="247"/>
      <c r="ER157" s="247"/>
      <c r="ES157" s="247"/>
      <c r="ET157" s="247"/>
      <c r="EU157" s="247"/>
      <c r="EV157" s="247"/>
      <c r="EW157" s="247"/>
      <c r="EX157" s="247"/>
      <c r="EY157" s="247"/>
      <c r="EZ157" s="247"/>
      <c r="FA157" s="247"/>
      <c r="FB157" s="247"/>
      <c r="FC157" s="247"/>
      <c r="FD157" s="247"/>
      <c r="FE157" s="247"/>
      <c r="FF157" s="247"/>
      <c r="FG157" s="247"/>
      <c r="FH157" s="247"/>
      <c r="FI157" s="247"/>
      <c r="FJ157" s="247"/>
      <c r="FK157" s="247"/>
      <c r="FL157" s="247"/>
      <c r="FM157" s="247"/>
      <c r="FN157" s="247"/>
      <c r="FO157" s="247"/>
      <c r="FP157" s="247"/>
      <c r="FQ157" s="247"/>
      <c r="FR157" s="247"/>
      <c r="FS157" s="247"/>
      <c r="FT157" s="247"/>
      <c r="FU157" s="247"/>
      <c r="FV157" s="247"/>
      <c r="FW157" s="247"/>
      <c r="FX157" s="247"/>
      <c r="FY157" s="247"/>
      <c r="FZ157" s="247"/>
      <c r="GA157" s="247"/>
      <c r="GB157" s="247"/>
      <c r="GC157" s="247"/>
      <c r="GD157" s="247"/>
      <c r="GE157" s="247"/>
      <c r="GF157" s="247"/>
      <c r="GG157" s="247"/>
      <c r="GH157" s="247"/>
      <c r="GI157" s="247"/>
      <c r="GJ157" s="247"/>
      <c r="GK157" s="247"/>
      <c r="GL157" s="247"/>
      <c r="GM157" s="247"/>
      <c r="GN157" s="247"/>
      <c r="GO157" s="247"/>
      <c r="GP157" s="247"/>
      <c r="GQ157" s="247"/>
      <c r="GR157" s="247"/>
      <c r="GS157" s="247"/>
      <c r="GT157" s="247"/>
      <c r="GU157" s="247"/>
      <c r="GV157" s="247"/>
      <c r="GW157" s="247"/>
      <c r="GX157" s="247"/>
      <c r="GY157" s="247"/>
      <c r="GZ157" s="247"/>
      <c r="HA157" s="247"/>
      <c r="HB157" s="247"/>
      <c r="HC157" s="247"/>
      <c r="HD157" s="247"/>
      <c r="HE157" s="247"/>
      <c r="HF157" s="247"/>
      <c r="HG157" s="247"/>
      <c r="HH157" s="247"/>
      <c r="HI157" s="247"/>
      <c r="HJ157" s="247"/>
      <c r="HK157" s="247"/>
      <c r="HL157" s="247"/>
      <c r="HM157" s="247"/>
      <c r="HN157" s="247"/>
      <c r="HO157" s="247"/>
      <c r="HP157" s="247"/>
      <c r="HQ157" s="247"/>
      <c r="HR157" s="247"/>
      <c r="HS157" s="247"/>
      <c r="HT157" s="247"/>
      <c r="HU157" s="247"/>
      <c r="HV157" s="247"/>
      <c r="HW157" s="247"/>
      <c r="HX157" s="247"/>
      <c r="HY157" s="247"/>
      <c r="HZ157" s="247"/>
      <c r="IA157" s="247"/>
      <c r="IB157" s="247"/>
      <c r="IC157" s="247"/>
      <c r="ID157" s="247"/>
      <c r="IE157" s="247"/>
      <c r="IF157" s="247"/>
      <c r="IG157" s="247"/>
      <c r="IH157" s="247"/>
      <c r="II157" s="247"/>
      <c r="IJ157" s="247"/>
      <c r="IK157" s="247"/>
      <c r="IL157" s="247"/>
      <c r="IM157" s="247"/>
      <c r="IN157" s="247"/>
    </row>
    <row r="158" spans="1:248" ht="15">
      <c r="A158" s="247"/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7"/>
      <c r="CC158" s="247"/>
      <c r="CD158" s="247"/>
      <c r="CE158" s="247"/>
      <c r="CF158" s="247"/>
      <c r="CG158" s="247"/>
      <c r="CH158" s="247"/>
      <c r="CI158" s="247"/>
      <c r="CJ158" s="247"/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  <c r="DB158" s="247"/>
      <c r="DC158" s="247"/>
      <c r="DD158" s="247"/>
      <c r="DE158" s="247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  <c r="EC158" s="247"/>
      <c r="ED158" s="247"/>
      <c r="EE158" s="247"/>
      <c r="EF158" s="247"/>
      <c r="EG158" s="247"/>
      <c r="EH158" s="247"/>
      <c r="EI158" s="247"/>
      <c r="EJ158" s="247"/>
      <c r="EK158" s="247"/>
      <c r="EL158" s="247"/>
      <c r="EM158" s="247"/>
      <c r="EN158" s="247"/>
      <c r="EO158" s="247"/>
      <c r="EP158" s="247"/>
      <c r="EQ158" s="247"/>
      <c r="ER158" s="247"/>
      <c r="ES158" s="247"/>
      <c r="ET158" s="247"/>
      <c r="EU158" s="247"/>
      <c r="EV158" s="247"/>
      <c r="EW158" s="247"/>
      <c r="EX158" s="247"/>
      <c r="EY158" s="247"/>
      <c r="EZ158" s="247"/>
      <c r="FA158" s="247"/>
      <c r="FB158" s="247"/>
      <c r="FC158" s="247"/>
      <c r="FD158" s="247"/>
      <c r="FE158" s="247"/>
      <c r="FF158" s="247"/>
      <c r="FG158" s="247"/>
      <c r="FH158" s="247"/>
      <c r="FI158" s="247"/>
      <c r="FJ158" s="247"/>
      <c r="FK158" s="247"/>
      <c r="FL158" s="247"/>
      <c r="FM158" s="247"/>
      <c r="FN158" s="247"/>
      <c r="FO158" s="247"/>
      <c r="FP158" s="247"/>
      <c r="FQ158" s="247"/>
      <c r="FR158" s="247"/>
      <c r="FS158" s="247"/>
      <c r="FT158" s="247"/>
      <c r="FU158" s="247"/>
      <c r="FV158" s="247"/>
      <c r="FW158" s="247"/>
      <c r="FX158" s="247"/>
      <c r="FY158" s="247"/>
      <c r="FZ158" s="247"/>
      <c r="GA158" s="247"/>
      <c r="GB158" s="247"/>
      <c r="GC158" s="247"/>
      <c r="GD158" s="247"/>
      <c r="GE158" s="247"/>
      <c r="GF158" s="247"/>
      <c r="GG158" s="247"/>
      <c r="GH158" s="247"/>
      <c r="GI158" s="247"/>
      <c r="GJ158" s="247"/>
      <c r="GK158" s="247"/>
      <c r="GL158" s="247"/>
      <c r="GM158" s="247"/>
      <c r="GN158" s="247"/>
      <c r="GO158" s="247"/>
      <c r="GP158" s="247"/>
      <c r="GQ158" s="247"/>
      <c r="GR158" s="247"/>
      <c r="GS158" s="247"/>
      <c r="GT158" s="247"/>
      <c r="GU158" s="247"/>
      <c r="GV158" s="247"/>
      <c r="GW158" s="247"/>
      <c r="GX158" s="247"/>
      <c r="GY158" s="247"/>
      <c r="GZ158" s="247"/>
      <c r="HA158" s="247"/>
      <c r="HB158" s="247"/>
      <c r="HC158" s="247"/>
      <c r="HD158" s="247"/>
      <c r="HE158" s="247"/>
      <c r="HF158" s="247"/>
      <c r="HG158" s="247"/>
      <c r="HH158" s="247"/>
      <c r="HI158" s="247"/>
      <c r="HJ158" s="247"/>
      <c r="HK158" s="247"/>
      <c r="HL158" s="247"/>
      <c r="HM158" s="247"/>
      <c r="HN158" s="247"/>
      <c r="HO158" s="247"/>
      <c r="HP158" s="247"/>
      <c r="HQ158" s="247"/>
      <c r="HR158" s="247"/>
      <c r="HS158" s="247"/>
      <c r="HT158" s="247"/>
      <c r="HU158" s="247"/>
      <c r="HV158" s="247"/>
      <c r="HW158" s="247"/>
      <c r="HX158" s="247"/>
      <c r="HY158" s="247"/>
      <c r="HZ158" s="247"/>
      <c r="IA158" s="247"/>
      <c r="IB158" s="247"/>
      <c r="IC158" s="247"/>
      <c r="ID158" s="247"/>
      <c r="IE158" s="247"/>
      <c r="IF158" s="247"/>
      <c r="IG158" s="247"/>
      <c r="IH158" s="247"/>
      <c r="II158" s="247"/>
      <c r="IJ158" s="247"/>
      <c r="IK158" s="247"/>
      <c r="IL158" s="247"/>
      <c r="IM158" s="247"/>
      <c r="IN158" s="247"/>
    </row>
    <row r="159" spans="1:248" ht="15">
      <c r="A159" s="247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47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  <c r="EC159" s="247"/>
      <c r="ED159" s="247"/>
      <c r="EE159" s="247"/>
      <c r="EF159" s="247"/>
      <c r="EG159" s="247"/>
      <c r="EH159" s="247"/>
      <c r="EI159" s="247"/>
      <c r="EJ159" s="247"/>
      <c r="EK159" s="247"/>
      <c r="EL159" s="247"/>
      <c r="EM159" s="247"/>
      <c r="EN159" s="247"/>
      <c r="EO159" s="247"/>
      <c r="EP159" s="247"/>
      <c r="EQ159" s="247"/>
      <c r="ER159" s="247"/>
      <c r="ES159" s="247"/>
      <c r="ET159" s="247"/>
      <c r="EU159" s="247"/>
      <c r="EV159" s="247"/>
      <c r="EW159" s="247"/>
      <c r="EX159" s="247"/>
      <c r="EY159" s="247"/>
      <c r="EZ159" s="247"/>
      <c r="FA159" s="247"/>
      <c r="FB159" s="247"/>
      <c r="FC159" s="247"/>
      <c r="FD159" s="247"/>
      <c r="FE159" s="247"/>
      <c r="FF159" s="247"/>
      <c r="FG159" s="247"/>
      <c r="FH159" s="247"/>
      <c r="FI159" s="247"/>
      <c r="FJ159" s="247"/>
      <c r="FK159" s="247"/>
      <c r="FL159" s="247"/>
      <c r="FM159" s="247"/>
      <c r="FN159" s="247"/>
      <c r="FO159" s="247"/>
      <c r="FP159" s="247"/>
      <c r="FQ159" s="247"/>
      <c r="FR159" s="247"/>
      <c r="FS159" s="247"/>
      <c r="FT159" s="247"/>
      <c r="FU159" s="247"/>
      <c r="FV159" s="247"/>
      <c r="FW159" s="247"/>
      <c r="FX159" s="247"/>
      <c r="FY159" s="247"/>
      <c r="FZ159" s="247"/>
      <c r="GA159" s="247"/>
      <c r="GB159" s="247"/>
      <c r="GC159" s="247"/>
      <c r="GD159" s="247"/>
      <c r="GE159" s="247"/>
      <c r="GF159" s="247"/>
      <c r="GG159" s="247"/>
      <c r="GH159" s="247"/>
      <c r="GI159" s="247"/>
      <c r="GJ159" s="247"/>
      <c r="GK159" s="247"/>
      <c r="GL159" s="247"/>
      <c r="GM159" s="247"/>
      <c r="GN159" s="247"/>
      <c r="GO159" s="247"/>
      <c r="GP159" s="247"/>
      <c r="GQ159" s="247"/>
      <c r="GR159" s="247"/>
      <c r="GS159" s="247"/>
      <c r="GT159" s="247"/>
      <c r="GU159" s="247"/>
      <c r="GV159" s="247"/>
      <c r="GW159" s="247"/>
      <c r="GX159" s="247"/>
      <c r="GY159" s="247"/>
      <c r="GZ159" s="247"/>
      <c r="HA159" s="247"/>
      <c r="HB159" s="247"/>
      <c r="HC159" s="247"/>
      <c r="HD159" s="247"/>
      <c r="HE159" s="247"/>
      <c r="HF159" s="247"/>
      <c r="HG159" s="247"/>
      <c r="HH159" s="247"/>
      <c r="HI159" s="247"/>
      <c r="HJ159" s="247"/>
      <c r="HK159" s="247"/>
      <c r="HL159" s="247"/>
      <c r="HM159" s="247"/>
      <c r="HN159" s="247"/>
      <c r="HO159" s="247"/>
      <c r="HP159" s="247"/>
      <c r="HQ159" s="247"/>
      <c r="HR159" s="247"/>
      <c r="HS159" s="247"/>
      <c r="HT159" s="247"/>
      <c r="HU159" s="247"/>
      <c r="HV159" s="247"/>
      <c r="HW159" s="247"/>
      <c r="HX159" s="247"/>
      <c r="HY159" s="247"/>
      <c r="HZ159" s="247"/>
      <c r="IA159" s="247"/>
      <c r="IB159" s="247"/>
      <c r="IC159" s="247"/>
      <c r="ID159" s="247"/>
      <c r="IE159" s="247"/>
      <c r="IF159" s="247"/>
      <c r="IG159" s="247"/>
      <c r="IH159" s="247"/>
      <c r="II159" s="247"/>
      <c r="IJ159" s="247"/>
      <c r="IK159" s="247"/>
      <c r="IL159" s="247"/>
      <c r="IM159" s="247"/>
      <c r="IN159" s="247"/>
    </row>
    <row r="160" spans="1:248" ht="15">
      <c r="A160" s="247"/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  <c r="EG160" s="247"/>
      <c r="EH160" s="247"/>
      <c r="EI160" s="247"/>
      <c r="EJ160" s="247"/>
      <c r="EK160" s="247"/>
      <c r="EL160" s="247"/>
      <c r="EM160" s="247"/>
      <c r="EN160" s="247"/>
      <c r="EO160" s="247"/>
      <c r="EP160" s="247"/>
      <c r="EQ160" s="247"/>
      <c r="ER160" s="247"/>
      <c r="ES160" s="247"/>
      <c r="ET160" s="247"/>
      <c r="EU160" s="247"/>
      <c r="EV160" s="247"/>
      <c r="EW160" s="247"/>
      <c r="EX160" s="247"/>
      <c r="EY160" s="247"/>
      <c r="EZ160" s="247"/>
      <c r="FA160" s="247"/>
      <c r="FB160" s="247"/>
      <c r="FC160" s="247"/>
      <c r="FD160" s="247"/>
      <c r="FE160" s="247"/>
      <c r="FF160" s="247"/>
      <c r="FG160" s="247"/>
      <c r="FH160" s="247"/>
      <c r="FI160" s="247"/>
      <c r="FJ160" s="247"/>
      <c r="FK160" s="247"/>
      <c r="FL160" s="247"/>
      <c r="FM160" s="247"/>
      <c r="FN160" s="247"/>
      <c r="FO160" s="247"/>
      <c r="FP160" s="247"/>
      <c r="FQ160" s="247"/>
      <c r="FR160" s="247"/>
      <c r="FS160" s="247"/>
      <c r="FT160" s="247"/>
      <c r="FU160" s="247"/>
      <c r="FV160" s="247"/>
      <c r="FW160" s="247"/>
      <c r="FX160" s="247"/>
      <c r="FY160" s="247"/>
      <c r="FZ160" s="247"/>
      <c r="GA160" s="247"/>
      <c r="GB160" s="247"/>
      <c r="GC160" s="247"/>
      <c r="GD160" s="247"/>
      <c r="GE160" s="247"/>
      <c r="GF160" s="247"/>
      <c r="GG160" s="247"/>
      <c r="GH160" s="247"/>
      <c r="GI160" s="247"/>
      <c r="GJ160" s="247"/>
      <c r="GK160" s="247"/>
      <c r="GL160" s="247"/>
      <c r="GM160" s="247"/>
      <c r="GN160" s="247"/>
      <c r="GO160" s="247"/>
      <c r="GP160" s="247"/>
      <c r="GQ160" s="247"/>
      <c r="GR160" s="247"/>
      <c r="GS160" s="247"/>
      <c r="GT160" s="247"/>
      <c r="GU160" s="247"/>
      <c r="GV160" s="247"/>
      <c r="GW160" s="247"/>
      <c r="GX160" s="247"/>
      <c r="GY160" s="247"/>
      <c r="GZ160" s="247"/>
      <c r="HA160" s="247"/>
      <c r="HB160" s="247"/>
      <c r="HC160" s="247"/>
      <c r="HD160" s="247"/>
      <c r="HE160" s="247"/>
      <c r="HF160" s="247"/>
      <c r="HG160" s="247"/>
      <c r="HH160" s="247"/>
      <c r="HI160" s="247"/>
      <c r="HJ160" s="247"/>
      <c r="HK160" s="247"/>
      <c r="HL160" s="247"/>
      <c r="HM160" s="247"/>
      <c r="HN160" s="247"/>
      <c r="HO160" s="247"/>
      <c r="HP160" s="247"/>
      <c r="HQ160" s="247"/>
      <c r="HR160" s="247"/>
      <c r="HS160" s="247"/>
      <c r="HT160" s="247"/>
      <c r="HU160" s="247"/>
      <c r="HV160" s="247"/>
      <c r="HW160" s="247"/>
      <c r="HX160" s="247"/>
      <c r="HY160" s="247"/>
      <c r="HZ160" s="247"/>
      <c r="IA160" s="247"/>
      <c r="IB160" s="247"/>
      <c r="IC160" s="247"/>
      <c r="ID160" s="247"/>
      <c r="IE160" s="247"/>
      <c r="IF160" s="247"/>
      <c r="IG160" s="247"/>
      <c r="IH160" s="247"/>
      <c r="II160" s="247"/>
      <c r="IJ160" s="247"/>
      <c r="IK160" s="247"/>
      <c r="IL160" s="247"/>
      <c r="IM160" s="247"/>
      <c r="IN160" s="247"/>
    </row>
    <row r="161" spans="1:248" ht="15">
      <c r="A161" s="247"/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  <c r="DB161" s="247"/>
      <c r="DC161" s="247"/>
      <c r="DD161" s="247"/>
      <c r="DE161" s="247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  <c r="EC161" s="247"/>
      <c r="ED161" s="247"/>
      <c r="EE161" s="247"/>
      <c r="EF161" s="247"/>
      <c r="EG161" s="247"/>
      <c r="EH161" s="247"/>
      <c r="EI161" s="247"/>
      <c r="EJ161" s="247"/>
      <c r="EK161" s="247"/>
      <c r="EL161" s="247"/>
      <c r="EM161" s="247"/>
      <c r="EN161" s="247"/>
      <c r="EO161" s="247"/>
      <c r="EP161" s="247"/>
      <c r="EQ161" s="247"/>
      <c r="ER161" s="247"/>
      <c r="ES161" s="247"/>
      <c r="ET161" s="247"/>
      <c r="EU161" s="247"/>
      <c r="EV161" s="247"/>
      <c r="EW161" s="247"/>
      <c r="EX161" s="247"/>
      <c r="EY161" s="247"/>
      <c r="EZ161" s="247"/>
      <c r="FA161" s="247"/>
      <c r="FB161" s="247"/>
      <c r="FC161" s="247"/>
      <c r="FD161" s="247"/>
      <c r="FE161" s="247"/>
      <c r="FF161" s="247"/>
      <c r="FG161" s="247"/>
      <c r="FH161" s="247"/>
      <c r="FI161" s="247"/>
      <c r="FJ161" s="247"/>
      <c r="FK161" s="247"/>
      <c r="FL161" s="247"/>
      <c r="FM161" s="247"/>
      <c r="FN161" s="247"/>
      <c r="FO161" s="247"/>
      <c r="FP161" s="247"/>
      <c r="FQ161" s="247"/>
      <c r="FR161" s="247"/>
      <c r="FS161" s="247"/>
      <c r="FT161" s="247"/>
      <c r="FU161" s="247"/>
      <c r="FV161" s="247"/>
      <c r="FW161" s="247"/>
      <c r="FX161" s="247"/>
      <c r="FY161" s="247"/>
      <c r="FZ161" s="247"/>
      <c r="GA161" s="247"/>
      <c r="GB161" s="247"/>
      <c r="GC161" s="247"/>
      <c r="GD161" s="247"/>
      <c r="GE161" s="247"/>
      <c r="GF161" s="247"/>
      <c r="GG161" s="247"/>
      <c r="GH161" s="247"/>
      <c r="GI161" s="247"/>
      <c r="GJ161" s="247"/>
      <c r="GK161" s="247"/>
      <c r="GL161" s="247"/>
      <c r="GM161" s="247"/>
      <c r="GN161" s="247"/>
      <c r="GO161" s="247"/>
      <c r="GP161" s="247"/>
      <c r="GQ161" s="247"/>
      <c r="GR161" s="247"/>
      <c r="GS161" s="247"/>
      <c r="GT161" s="247"/>
      <c r="GU161" s="247"/>
      <c r="GV161" s="247"/>
      <c r="GW161" s="247"/>
      <c r="GX161" s="247"/>
      <c r="GY161" s="247"/>
      <c r="GZ161" s="247"/>
      <c r="HA161" s="247"/>
      <c r="HB161" s="247"/>
      <c r="HC161" s="247"/>
      <c r="HD161" s="247"/>
      <c r="HE161" s="247"/>
      <c r="HF161" s="247"/>
      <c r="HG161" s="247"/>
      <c r="HH161" s="247"/>
      <c r="HI161" s="247"/>
      <c r="HJ161" s="247"/>
      <c r="HK161" s="247"/>
      <c r="HL161" s="247"/>
      <c r="HM161" s="247"/>
      <c r="HN161" s="247"/>
      <c r="HO161" s="247"/>
      <c r="HP161" s="247"/>
      <c r="HQ161" s="247"/>
      <c r="HR161" s="247"/>
      <c r="HS161" s="247"/>
      <c r="HT161" s="247"/>
      <c r="HU161" s="247"/>
      <c r="HV161" s="247"/>
      <c r="HW161" s="247"/>
      <c r="HX161" s="247"/>
      <c r="HY161" s="247"/>
      <c r="HZ161" s="247"/>
      <c r="IA161" s="247"/>
      <c r="IB161" s="247"/>
      <c r="IC161" s="247"/>
      <c r="ID161" s="247"/>
      <c r="IE161" s="247"/>
      <c r="IF161" s="247"/>
      <c r="IG161" s="247"/>
      <c r="IH161" s="247"/>
      <c r="II161" s="247"/>
      <c r="IJ161" s="247"/>
      <c r="IK161" s="247"/>
      <c r="IL161" s="247"/>
      <c r="IM161" s="247"/>
      <c r="IN161" s="247"/>
    </row>
  </sheetData>
  <sheetProtection/>
  <mergeCells count="8">
    <mergeCell ref="G8:H8"/>
    <mergeCell ref="A39:A55"/>
    <mergeCell ref="B6:F6"/>
    <mergeCell ref="I8:J8"/>
    <mergeCell ref="A8:A9"/>
    <mergeCell ref="B8:B9"/>
    <mergeCell ref="C8:D8"/>
    <mergeCell ref="E8:F8"/>
  </mergeCells>
  <printOptions/>
  <pageMargins left="0.7086614173228347" right="0.31496062992125984" top="0.1968503937007874" bottom="0.35433070866141736" header="0" footer="0.1181102362204724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0"/>
  <sheetViews>
    <sheetView zoomScalePageLayoutView="0" workbookViewId="0" topLeftCell="A5">
      <pane xSplit="1" ySplit="4" topLeftCell="B9" activePane="bottomRight" state="frozen"/>
      <selection pane="topLeft" activeCell="A5" sqref="A5"/>
      <selection pane="topRight" activeCell="B5" sqref="B5"/>
      <selection pane="bottomLeft" activeCell="A9" sqref="A9"/>
      <selection pane="bottomRight" activeCell="D32" sqref="D32"/>
    </sheetView>
  </sheetViews>
  <sheetFormatPr defaultColWidth="9.140625" defaultRowHeight="15"/>
  <cols>
    <col min="1" max="1" width="35.28125" style="23" customWidth="1"/>
    <col min="2" max="2" width="12.8515625" style="23" customWidth="1"/>
    <col min="3" max="3" width="9.140625" style="23" customWidth="1"/>
    <col min="4" max="4" width="12.28125" style="23" customWidth="1"/>
    <col min="5" max="5" width="9.140625" style="23" customWidth="1"/>
    <col min="6" max="6" width="12.00390625" style="23" customWidth="1"/>
    <col min="7" max="8" width="9.140625" style="23" customWidth="1"/>
    <col min="9" max="10" width="9.7109375" style="23" customWidth="1"/>
    <col min="11" max="16384" width="9.140625" style="23" customWidth="1"/>
  </cols>
  <sheetData>
    <row r="1" ht="15">
      <c r="H1" s="1" t="s">
        <v>244</v>
      </c>
    </row>
    <row r="2" spans="1:4" ht="15.75">
      <c r="A2" s="381" t="s">
        <v>593</v>
      </c>
      <c r="B2" s="266"/>
      <c r="C2" s="116"/>
      <c r="D2" s="116"/>
    </row>
    <row r="3" spans="1:4" ht="15">
      <c r="A3" s="121" t="s">
        <v>589</v>
      </c>
      <c r="B3" s="116"/>
      <c r="C3" s="116"/>
      <c r="D3" s="116"/>
    </row>
    <row r="4" ht="15">
      <c r="F4" s="1"/>
    </row>
    <row r="5" spans="1:4" ht="14.25">
      <c r="A5" s="490" t="s">
        <v>637</v>
      </c>
      <c r="B5" s="490"/>
      <c r="C5" s="490"/>
      <c r="D5" s="490"/>
    </row>
    <row r="6" spans="1:4" ht="12.75">
      <c r="A6" s="56"/>
      <c r="B6" s="56"/>
      <c r="C6" s="56"/>
      <c r="D6" s="56"/>
    </row>
    <row r="7" spans="1:9" ht="43.5" customHeight="1">
      <c r="A7" s="484" t="s">
        <v>48</v>
      </c>
      <c r="B7" s="485" t="s">
        <v>587</v>
      </c>
      <c r="C7" s="485"/>
      <c r="D7" s="486" t="s">
        <v>459</v>
      </c>
      <c r="E7" s="487"/>
      <c r="F7" s="488" t="s">
        <v>460</v>
      </c>
      <c r="G7" s="489"/>
      <c r="H7" s="480" t="s">
        <v>573</v>
      </c>
      <c r="I7" s="481"/>
    </row>
    <row r="8" spans="1:9" ht="38.25">
      <c r="A8" s="482"/>
      <c r="B8" s="263" t="s">
        <v>461</v>
      </c>
      <c r="C8" s="263" t="s">
        <v>588</v>
      </c>
      <c r="D8" s="263" t="s">
        <v>461</v>
      </c>
      <c r="E8" s="263" t="s">
        <v>588</v>
      </c>
      <c r="F8" s="263" t="s">
        <v>461</v>
      </c>
      <c r="G8" s="263" t="s">
        <v>588</v>
      </c>
      <c r="H8" s="264" t="s">
        <v>574</v>
      </c>
      <c r="I8" s="264" t="s">
        <v>18</v>
      </c>
    </row>
    <row r="9" spans="1:9" ht="15">
      <c r="A9" s="28" t="s">
        <v>82</v>
      </c>
      <c r="B9" s="29"/>
      <c r="C9" s="29"/>
      <c r="D9" s="29"/>
      <c r="E9" s="29"/>
      <c r="F9" s="29"/>
      <c r="G9" s="31"/>
      <c r="H9" s="32"/>
      <c r="I9" s="29"/>
    </row>
    <row r="10" spans="1:9" ht="15">
      <c r="A10" s="30" t="s">
        <v>74</v>
      </c>
      <c r="B10" s="305">
        <v>128.2</v>
      </c>
      <c r="C10" s="305"/>
      <c r="D10" s="305">
        <v>82.484</v>
      </c>
      <c r="E10" s="305"/>
      <c r="F10" s="380">
        <f>D10/B10*100</f>
        <v>64.34009360374415</v>
      </c>
      <c r="G10" s="376"/>
      <c r="H10" s="377"/>
      <c r="I10" s="32"/>
    </row>
    <row r="11" spans="1:9" ht="15">
      <c r="A11" s="30" t="s">
        <v>75</v>
      </c>
      <c r="B11" s="305"/>
      <c r="C11" s="305"/>
      <c r="D11" s="305"/>
      <c r="E11" s="305"/>
      <c r="F11" s="375"/>
      <c r="G11" s="375"/>
      <c r="H11" s="377"/>
      <c r="I11" s="32"/>
    </row>
    <row r="12" spans="1:9" ht="15">
      <c r="A12" s="30" t="s">
        <v>76</v>
      </c>
      <c r="B12" s="305"/>
      <c r="C12" s="305"/>
      <c r="D12" s="305"/>
      <c r="E12" s="305"/>
      <c r="F12" s="375"/>
      <c r="G12" s="376"/>
      <c r="H12" s="377"/>
      <c r="I12" s="32"/>
    </row>
    <row r="13" spans="1:9" ht="15">
      <c r="A13" s="30" t="s">
        <v>78</v>
      </c>
      <c r="B13" s="305">
        <v>128.2</v>
      </c>
      <c r="C13" s="305"/>
      <c r="D13" s="305">
        <v>82.484</v>
      </c>
      <c r="E13" s="305"/>
      <c r="F13" s="380">
        <f>D13/B13*100</f>
        <v>64.34009360374415</v>
      </c>
      <c r="G13" s="376"/>
      <c r="H13" s="377"/>
      <c r="I13" s="32"/>
    </row>
    <row r="14" spans="1:9" ht="15">
      <c r="A14" s="30" t="s">
        <v>77</v>
      </c>
      <c r="B14" s="305"/>
      <c r="C14" s="305"/>
      <c r="D14" s="305"/>
      <c r="E14" s="305"/>
      <c r="F14" s="375"/>
      <c r="G14" s="376"/>
      <c r="H14" s="377"/>
      <c r="I14" s="32"/>
    </row>
    <row r="15" spans="1:9" ht="15">
      <c r="A15" s="30" t="s">
        <v>79</v>
      </c>
      <c r="B15" s="305"/>
      <c r="C15" s="305"/>
      <c r="D15" s="305"/>
      <c r="E15" s="305"/>
      <c r="F15" s="375"/>
      <c r="G15" s="376"/>
      <c r="H15" s="377"/>
      <c r="I15" s="32"/>
    </row>
    <row r="16" spans="1:9" ht="15">
      <c r="A16" s="30" t="s">
        <v>80</v>
      </c>
      <c r="B16" s="305">
        <v>128.2</v>
      </c>
      <c r="C16" s="305"/>
      <c r="D16" s="305">
        <v>82.48</v>
      </c>
      <c r="E16" s="305"/>
      <c r="F16" s="380">
        <f>D16/B16*100</f>
        <v>64.33697347893916</v>
      </c>
      <c r="G16" s="376"/>
      <c r="H16" s="377"/>
      <c r="I16" s="32"/>
    </row>
    <row r="17" spans="1:9" ht="15">
      <c r="A17" s="379" t="s">
        <v>635</v>
      </c>
      <c r="B17" s="305">
        <v>119.14</v>
      </c>
      <c r="C17" s="305"/>
      <c r="D17" s="305">
        <v>77.103</v>
      </c>
      <c r="E17" s="305"/>
      <c r="F17" s="380">
        <f>D17/B17*100</f>
        <v>64.71630015108275</v>
      </c>
      <c r="G17" s="376"/>
      <c r="H17" s="377"/>
      <c r="I17" s="32"/>
    </row>
    <row r="18" spans="1:9" ht="15">
      <c r="A18" s="30" t="s">
        <v>81</v>
      </c>
      <c r="B18" s="305">
        <v>4.54</v>
      </c>
      <c r="C18" s="305"/>
      <c r="D18" s="305">
        <v>4.066</v>
      </c>
      <c r="E18" s="305"/>
      <c r="F18" s="380">
        <f>D18/B18*100</f>
        <v>89.55947136563877</v>
      </c>
      <c r="G18" s="376"/>
      <c r="H18" s="377"/>
      <c r="I18" s="32"/>
    </row>
    <row r="19" spans="1:9" ht="15">
      <c r="A19" s="30" t="s">
        <v>636</v>
      </c>
      <c r="B19" s="305">
        <v>4.52</v>
      </c>
      <c r="C19" s="305"/>
      <c r="D19" s="305">
        <v>1.315</v>
      </c>
      <c r="E19" s="305"/>
      <c r="F19" s="380">
        <f>D19/B19*100</f>
        <v>29.092920353982304</v>
      </c>
      <c r="G19" s="376"/>
      <c r="H19" s="377"/>
      <c r="I19" s="32"/>
    </row>
    <row r="20" spans="1:9" ht="15">
      <c r="A20" s="30"/>
      <c r="B20" s="305"/>
      <c r="C20" s="305"/>
      <c r="D20" s="305"/>
      <c r="E20" s="305"/>
      <c r="F20" s="375"/>
      <c r="G20" s="375"/>
      <c r="H20" s="377"/>
      <c r="I20" s="32"/>
    </row>
    <row r="21" spans="1:9" ht="13.5">
      <c r="A21" s="28" t="s">
        <v>88</v>
      </c>
      <c r="B21" s="305">
        <f>B22+B42</f>
        <v>2505.0225021</v>
      </c>
      <c r="C21" s="305">
        <f>B21/B$13</f>
        <v>19.53995711466459</v>
      </c>
      <c r="D21" s="305">
        <f>D22+D42</f>
        <v>2579.5899080000004</v>
      </c>
      <c r="E21" s="305">
        <f>E22+E42</f>
        <v>29.513965229620297</v>
      </c>
      <c r="F21" s="380">
        <f>D21/B21*100</f>
        <v>102.9767160110334</v>
      </c>
      <c r="G21" s="380">
        <f>E21/C21*100</f>
        <v>151.0441658414403</v>
      </c>
      <c r="H21" s="305">
        <f>H22+H42</f>
        <v>99.99999999999999</v>
      </c>
      <c r="I21" s="305">
        <f>I22+I42</f>
        <v>95.16104828395848</v>
      </c>
    </row>
    <row r="22" spans="1:9" ht="12.75">
      <c r="A22" s="57" t="s">
        <v>93</v>
      </c>
      <c r="B22" s="305">
        <f>B30+B33+B36+B40+B24+B39+B41</f>
        <v>2408.5225021</v>
      </c>
      <c r="C22" s="305">
        <f>B22/B$13</f>
        <v>18.78722700546022</v>
      </c>
      <c r="D22" s="305">
        <f>D30+D33+D36+D40+D24+D39+D41</f>
        <v>2061.4199080000003</v>
      </c>
      <c r="E22" s="305">
        <f>E30+E33+E36+E40+E24+E39</f>
        <v>23.23189840453907</v>
      </c>
      <c r="F22" s="380">
        <f>D22/B22*100</f>
        <v>85.58856752231463</v>
      </c>
      <c r="G22" s="380">
        <f>E22/C22*100</f>
        <v>123.65794269578514</v>
      </c>
      <c r="H22" s="305">
        <f>H30+H33+H36+H40+H24+H39+H41</f>
        <v>96.14773919519274</v>
      </c>
      <c r="I22" s="305">
        <f>I30+I33+I36+I40+I24+I39</f>
        <v>75.07374687248156</v>
      </c>
    </row>
    <row r="23" spans="1:9" ht="15">
      <c r="A23" s="33" t="s">
        <v>92</v>
      </c>
      <c r="B23" s="305"/>
      <c r="C23" s="305"/>
      <c r="D23" s="305"/>
      <c r="E23" s="305"/>
      <c r="F23" s="378"/>
      <c r="G23" s="378"/>
      <c r="H23" s="377"/>
      <c r="I23" s="32"/>
    </row>
    <row r="24" spans="1:9" ht="13.5">
      <c r="A24" s="35" t="s">
        <v>83</v>
      </c>
      <c r="B24" s="305"/>
      <c r="C24" s="305"/>
      <c r="D24" s="303">
        <v>1.5</v>
      </c>
      <c r="E24" s="305">
        <f>D24/D$13</f>
        <v>0.018185345036613162</v>
      </c>
      <c r="F24" s="380"/>
      <c r="G24" s="378"/>
      <c r="H24" s="377"/>
      <c r="I24" s="377"/>
    </row>
    <row r="25" spans="1:9" ht="12.75">
      <c r="A25" s="36" t="s">
        <v>85</v>
      </c>
      <c r="B25" s="305"/>
      <c r="C25" s="305"/>
      <c r="D25" s="303"/>
      <c r="E25" s="305"/>
      <c r="F25" s="378"/>
      <c r="G25" s="378"/>
      <c r="H25" s="377"/>
      <c r="I25" s="375"/>
    </row>
    <row r="26" spans="1:9" ht="12.75">
      <c r="A26" s="36" t="s">
        <v>84</v>
      </c>
      <c r="B26" s="305"/>
      <c r="C26" s="305"/>
      <c r="D26" s="303"/>
      <c r="E26" s="305"/>
      <c r="F26" s="378"/>
      <c r="G26" s="378"/>
      <c r="H26" s="377"/>
      <c r="I26" s="375"/>
    </row>
    <row r="27" spans="1:9" ht="13.5">
      <c r="A27" s="39" t="s">
        <v>86</v>
      </c>
      <c r="B27" s="305"/>
      <c r="C27" s="305"/>
      <c r="D27" s="303"/>
      <c r="E27" s="305"/>
      <c r="F27" s="378"/>
      <c r="G27" s="378"/>
      <c r="H27" s="377"/>
      <c r="I27" s="377"/>
    </row>
    <row r="28" spans="1:9" ht="12.75">
      <c r="A28" s="40" t="s">
        <v>49</v>
      </c>
      <c r="B28" s="305"/>
      <c r="C28" s="309"/>
      <c r="D28" s="303"/>
      <c r="E28" s="305"/>
      <c r="F28" s="378"/>
      <c r="G28" s="378"/>
      <c r="H28" s="377"/>
      <c r="I28" s="375"/>
    </row>
    <row r="29" spans="1:9" ht="12.75">
      <c r="A29" s="40" t="s">
        <v>50</v>
      </c>
      <c r="B29" s="305"/>
      <c r="C29" s="309"/>
      <c r="D29" s="303"/>
      <c r="E29" s="305"/>
      <c r="F29" s="378"/>
      <c r="G29" s="378"/>
      <c r="H29" s="377"/>
      <c r="I29" s="375"/>
    </row>
    <row r="30" spans="1:9" ht="13.5">
      <c r="A30" s="35" t="s">
        <v>96</v>
      </c>
      <c r="B30" s="305">
        <v>1262.42</v>
      </c>
      <c r="C30" s="305">
        <f>B30/B$13</f>
        <v>9.847269890795634</v>
      </c>
      <c r="D30" s="303">
        <f>734.86+124.21</f>
        <v>859.07</v>
      </c>
      <c r="E30" s="305">
        <f>D30/D$13</f>
        <v>10.414989573735514</v>
      </c>
      <c r="F30" s="380">
        <f aca="true" t="shared" si="0" ref="F30:G33">D30/B30*100</f>
        <v>68.04946055987706</v>
      </c>
      <c r="G30" s="380">
        <f t="shared" si="0"/>
        <v>105.76524954871537</v>
      </c>
      <c r="H30" s="377">
        <f>B30/B$21*100</f>
        <v>50.39555528709596</v>
      </c>
      <c r="I30" s="377">
        <f>D30/D$21*100</f>
        <v>33.30258027974887</v>
      </c>
    </row>
    <row r="31" spans="1:9" ht="12.75">
      <c r="A31" s="38" t="s">
        <v>51</v>
      </c>
      <c r="B31" s="305">
        <v>7.5</v>
      </c>
      <c r="C31" s="309"/>
      <c r="D31" s="303">
        <v>7</v>
      </c>
      <c r="E31" s="305"/>
      <c r="F31" s="380">
        <f t="shared" si="0"/>
        <v>93.33333333333333</v>
      </c>
      <c r="G31" s="378"/>
      <c r="H31" s="377"/>
      <c r="I31" s="375"/>
    </row>
    <row r="32" spans="1:9" ht="12.75">
      <c r="A32" s="38" t="s">
        <v>52</v>
      </c>
      <c r="B32" s="305">
        <f>B30/B31/12*1000</f>
        <v>14026.888888888889</v>
      </c>
      <c r="C32" s="309"/>
      <c r="D32" s="305">
        <f>D30/D31/12*1000</f>
        <v>10227.023809523811</v>
      </c>
      <c r="E32" s="305"/>
      <c r="F32" s="380">
        <f t="shared" si="0"/>
        <v>72.910136314154</v>
      </c>
      <c r="G32" s="378"/>
      <c r="H32" s="377"/>
      <c r="I32" s="375"/>
    </row>
    <row r="33" spans="1:9" ht="13.5">
      <c r="A33" s="42" t="s">
        <v>53</v>
      </c>
      <c r="B33" s="305">
        <v>381.25</v>
      </c>
      <c r="C33" s="305">
        <f>B33/B$13</f>
        <v>2.9738689547581907</v>
      </c>
      <c r="D33" s="303">
        <v>261.92</v>
      </c>
      <c r="E33" s="305">
        <f>D33/D$13</f>
        <v>3.1754037146598133</v>
      </c>
      <c r="F33" s="380">
        <f t="shared" si="0"/>
        <v>68.70032786885247</v>
      </c>
      <c r="G33" s="380">
        <f t="shared" si="0"/>
        <v>106.77685409033128</v>
      </c>
      <c r="H33" s="377">
        <f>B33/B$21*100</f>
        <v>15.219424164070066</v>
      </c>
      <c r="I33" s="377">
        <v>11</v>
      </c>
    </row>
    <row r="34" spans="1:9" ht="13.5">
      <c r="A34" s="35" t="s">
        <v>54</v>
      </c>
      <c r="B34" s="305"/>
      <c r="C34" s="305"/>
      <c r="D34" s="303"/>
      <c r="E34" s="305"/>
      <c r="F34" s="378"/>
      <c r="G34" s="378"/>
      <c r="H34" s="377"/>
      <c r="I34" s="377"/>
    </row>
    <row r="35" spans="1:9" ht="13.5">
      <c r="A35" s="42" t="s">
        <v>55</v>
      </c>
      <c r="B35" s="305"/>
      <c r="C35" s="305"/>
      <c r="D35" s="303"/>
      <c r="E35" s="305"/>
      <c r="F35" s="378"/>
      <c r="G35" s="378"/>
      <c r="H35" s="377"/>
      <c r="I35" s="377"/>
    </row>
    <row r="36" spans="1:9" ht="13.5">
      <c r="A36" s="35" t="s">
        <v>56</v>
      </c>
      <c r="B36" s="305">
        <f>B37*B38</f>
        <v>723.4125020999999</v>
      </c>
      <c r="C36" s="305">
        <f>B36/B$13</f>
        <v>5.642843230109204</v>
      </c>
      <c r="D36" s="305">
        <f>D37*D38</f>
        <v>487.42990800000007</v>
      </c>
      <c r="E36" s="305">
        <f aca="true" t="shared" si="1" ref="E36:E42">D36/D$13</f>
        <v>5.909387372096408</v>
      </c>
      <c r="F36" s="380">
        <f aca="true" t="shared" si="2" ref="F36:G42">D36/B36*100</f>
        <v>67.3792485732602</v>
      </c>
      <c r="G36" s="380">
        <f t="shared" si="2"/>
        <v>104.72357871941173</v>
      </c>
      <c r="H36" s="377">
        <f>B36/B$21*100</f>
        <v>28.878483187019345</v>
      </c>
      <c r="I36" s="377">
        <f>D36/D$21*100</f>
        <v>18.895635561619663</v>
      </c>
    </row>
    <row r="37" spans="1:9" ht="12.75">
      <c r="A37" s="38" t="s">
        <v>57</v>
      </c>
      <c r="B37" s="305">
        <v>172.23</v>
      </c>
      <c r="C37" s="305">
        <f>B37/B$13</f>
        <v>1.3434477379095164</v>
      </c>
      <c r="D37" s="303">
        <v>106.18</v>
      </c>
      <c r="E37" s="305">
        <f t="shared" si="1"/>
        <v>1.287279957325057</v>
      </c>
      <c r="F37" s="380">
        <f t="shared" si="2"/>
        <v>61.65011902688266</v>
      </c>
      <c r="G37" s="380">
        <f t="shared" si="2"/>
        <v>95.81913170125547</v>
      </c>
      <c r="H37" s="377"/>
      <c r="I37" s="375"/>
    </row>
    <row r="38" spans="1:9" ht="12.75">
      <c r="A38" s="38" t="s">
        <v>58</v>
      </c>
      <c r="B38" s="305">
        <v>4.20027</v>
      </c>
      <c r="C38" s="305"/>
      <c r="D38" s="303">
        <v>4.5906</v>
      </c>
      <c r="E38" s="305"/>
      <c r="F38" s="380">
        <f t="shared" si="2"/>
        <v>109.29297402309852</v>
      </c>
      <c r="G38" s="378"/>
      <c r="H38" s="377"/>
      <c r="I38" s="375"/>
    </row>
    <row r="39" spans="1:9" ht="13.5">
      <c r="A39" s="42" t="s">
        <v>59</v>
      </c>
      <c r="B39" s="305"/>
      <c r="C39" s="305"/>
      <c r="D39" s="303">
        <f>26.07+129.57+31.5+8.05</f>
        <v>195.19</v>
      </c>
      <c r="E39" s="305">
        <f t="shared" si="1"/>
        <v>2.366398331797682</v>
      </c>
      <c r="F39" s="380"/>
      <c r="G39" s="378"/>
      <c r="H39" s="377"/>
      <c r="I39" s="377">
        <f>D39/D$21*100</f>
        <v>7.566706606916992</v>
      </c>
    </row>
    <row r="40" spans="1:9" ht="13.5">
      <c r="A40" s="35" t="s">
        <v>87</v>
      </c>
      <c r="B40" s="305">
        <v>30.33</v>
      </c>
      <c r="C40" s="305">
        <f>B40/B$13</f>
        <v>0.23658346333853356</v>
      </c>
      <c r="D40" s="303">
        <f>83.94+2.31+24.2+0.7</f>
        <v>111.15</v>
      </c>
      <c r="E40" s="305">
        <f t="shared" si="1"/>
        <v>1.3475340672130354</v>
      </c>
      <c r="F40" s="380">
        <f t="shared" si="2"/>
        <v>366.46884272997033</v>
      </c>
      <c r="G40" s="380">
        <f t="shared" si="2"/>
        <v>569.5808355315237</v>
      </c>
      <c r="H40" s="377">
        <f>B40/B$21*100</f>
        <v>1.2107675669409708</v>
      </c>
      <c r="I40" s="377">
        <f>D40/D$21*100</f>
        <v>4.308824424196033</v>
      </c>
    </row>
    <row r="41" spans="1:9" ht="13.5">
      <c r="A41" s="35" t="s">
        <v>89</v>
      </c>
      <c r="B41" s="305">
        <v>11.11</v>
      </c>
      <c r="C41" s="305">
        <f>B41/B$13</f>
        <v>0.08666146645865835</v>
      </c>
      <c r="D41" s="303">
        <v>145.16</v>
      </c>
      <c r="E41" s="305">
        <f t="shared" si="1"/>
        <v>1.7598564570098445</v>
      </c>
      <c r="F41" s="380">
        <f t="shared" si="2"/>
        <v>1306.5706570657064</v>
      </c>
      <c r="G41" s="380">
        <f t="shared" si="2"/>
        <v>2030.7254526432228</v>
      </c>
      <c r="H41" s="377">
        <f>B41/B$21*100</f>
        <v>0.443508990066409</v>
      </c>
      <c r="I41" s="377">
        <f>D41/D$21*100</f>
        <v>5.627251042881657</v>
      </c>
    </row>
    <row r="42" spans="1:9" ht="12.75">
      <c r="A42" s="57" t="s">
        <v>94</v>
      </c>
      <c r="B42" s="305">
        <f>96.5</f>
        <v>96.5</v>
      </c>
      <c r="C42" s="305">
        <f>B42/B$13</f>
        <v>0.7527301092043682</v>
      </c>
      <c r="D42" s="305">
        <f>518.17</f>
        <v>518.17</v>
      </c>
      <c r="E42" s="305">
        <f t="shared" si="1"/>
        <v>6.282066825081228</v>
      </c>
      <c r="F42" s="380">
        <f t="shared" si="2"/>
        <v>536.9637305699482</v>
      </c>
      <c r="G42" s="380">
        <f t="shared" si="2"/>
        <v>834.570950233589</v>
      </c>
      <c r="H42" s="377">
        <f>B42/B$21*100</f>
        <v>3.852260804807243</v>
      </c>
      <c r="I42" s="377">
        <f>D42/D$21*100</f>
        <v>20.087301411476908</v>
      </c>
    </row>
    <row r="43" spans="1:9" ht="13.5">
      <c r="A43" s="58" t="s">
        <v>91</v>
      </c>
      <c r="B43" s="305"/>
      <c r="C43" s="305"/>
      <c r="D43" s="305"/>
      <c r="E43" s="305"/>
      <c r="F43" s="378"/>
      <c r="G43" s="378"/>
      <c r="H43" s="377"/>
      <c r="I43" s="377"/>
    </row>
    <row r="44" spans="1:9" ht="40.5">
      <c r="A44" s="59" t="s">
        <v>634</v>
      </c>
      <c r="B44" s="305"/>
      <c r="C44" s="305"/>
      <c r="D44" s="305"/>
      <c r="E44" s="305"/>
      <c r="F44" s="378"/>
      <c r="G44" s="378"/>
      <c r="H44" s="377"/>
      <c r="I44" s="377"/>
    </row>
    <row r="45" spans="1:9" ht="12.75">
      <c r="A45" s="33" t="s">
        <v>92</v>
      </c>
      <c r="B45" s="305"/>
      <c r="C45" s="305"/>
      <c r="D45" s="305"/>
      <c r="E45" s="305"/>
      <c r="F45" s="378"/>
      <c r="G45" s="378"/>
      <c r="H45" s="377"/>
      <c r="I45" s="377"/>
    </row>
    <row r="46" spans="1:9" ht="12.75">
      <c r="A46" s="38" t="s">
        <v>62</v>
      </c>
      <c r="B46" s="305"/>
      <c r="C46" s="305"/>
      <c r="D46" s="305"/>
      <c r="E46" s="305"/>
      <c r="F46" s="378"/>
      <c r="G46" s="375"/>
      <c r="H46" s="377"/>
      <c r="I46" s="375"/>
    </row>
    <row r="47" spans="1:9" ht="12.75">
      <c r="A47" s="38" t="s">
        <v>63</v>
      </c>
      <c r="B47" s="305"/>
      <c r="C47" s="305"/>
      <c r="D47" s="305"/>
      <c r="E47" s="305"/>
      <c r="F47" s="378"/>
      <c r="G47" s="375"/>
      <c r="H47" s="377"/>
      <c r="I47" s="375"/>
    </row>
    <row r="48" spans="1:9" ht="12.75">
      <c r="A48" s="38" t="s">
        <v>64</v>
      </c>
      <c r="B48" s="305"/>
      <c r="C48" s="305"/>
      <c r="D48" s="305"/>
      <c r="E48" s="305"/>
      <c r="F48" s="378"/>
      <c r="G48" s="375"/>
      <c r="H48" s="377"/>
      <c r="I48" s="375"/>
    </row>
    <row r="49" spans="1:9" s="384" customFormat="1" ht="29.25" customHeight="1">
      <c r="A49" s="382" t="s">
        <v>95</v>
      </c>
      <c r="B49" s="383">
        <v>2439.72</v>
      </c>
      <c r="C49" s="386">
        <f>B49/B$13</f>
        <v>19.030577223088923</v>
      </c>
      <c r="D49" s="383">
        <f>D21</f>
        <v>2579.5899080000004</v>
      </c>
      <c r="E49" s="386">
        <f>D49/D$13</f>
        <v>31.27382168663014</v>
      </c>
      <c r="F49" s="387">
        <f>D49/B49*100</f>
        <v>105.73303116751104</v>
      </c>
      <c r="G49" s="387">
        <f>E49/C49*100</f>
        <v>164.33459332324955</v>
      </c>
      <c r="H49" s="382"/>
      <c r="I49" s="388"/>
    </row>
    <row r="50" spans="1:9" s="384" customFormat="1" ht="17.25" customHeight="1">
      <c r="A50" s="385" t="s">
        <v>98</v>
      </c>
      <c r="B50" s="386">
        <v>2439.72</v>
      </c>
      <c r="C50" s="386">
        <f>B50/B$13</f>
        <v>19.030577223088923</v>
      </c>
      <c r="D50" s="386">
        <v>1583.27</v>
      </c>
      <c r="E50" s="386">
        <f>D50/D$13</f>
        <v>19.194874157412347</v>
      </c>
      <c r="F50" s="387">
        <f>D50/B50*100</f>
        <v>64.8955617857787</v>
      </c>
      <c r="G50" s="387">
        <f>E50/C50*100</f>
        <v>100.86333132409715</v>
      </c>
      <c r="H50" s="382"/>
      <c r="I50" s="388"/>
    </row>
    <row r="51" spans="1:9" ht="12.75">
      <c r="A51" s="43" t="s">
        <v>60</v>
      </c>
      <c r="B51" s="305"/>
      <c r="C51" s="305"/>
      <c r="D51" s="305"/>
      <c r="E51" s="305"/>
      <c r="F51" s="305"/>
      <c r="G51" s="305"/>
      <c r="H51" s="305"/>
      <c r="I51" s="305"/>
    </row>
    <row r="52" spans="1:9" ht="12.75">
      <c r="A52" s="43" t="s">
        <v>61</v>
      </c>
      <c r="B52" s="305"/>
      <c r="C52" s="305"/>
      <c r="D52" s="305"/>
      <c r="E52" s="305"/>
      <c r="F52" s="305"/>
      <c r="G52" s="305"/>
      <c r="H52" s="305"/>
      <c r="I52" s="305"/>
    </row>
    <row r="53" spans="1:9" ht="12.75">
      <c r="A53" s="43" t="s">
        <v>90</v>
      </c>
      <c r="B53" s="305"/>
      <c r="C53" s="305"/>
      <c r="D53" s="305"/>
      <c r="E53" s="305"/>
      <c r="F53" s="305"/>
      <c r="G53" s="305"/>
      <c r="H53" s="305"/>
      <c r="I53" s="305"/>
    </row>
    <row r="54" spans="1:9" s="374" customFormat="1" ht="19.5" customHeight="1">
      <c r="A54" s="372" t="s">
        <v>65</v>
      </c>
      <c r="B54" s="372"/>
      <c r="C54" s="372"/>
      <c r="D54" s="373">
        <f>D50-D49</f>
        <v>-996.3199080000004</v>
      </c>
      <c r="E54" s="373">
        <f>D54/D$13</f>
        <v>-12.078947529217793</v>
      </c>
      <c r="F54" s="372"/>
      <c r="G54" s="372"/>
      <c r="H54" s="372"/>
      <c r="I54" s="372"/>
    </row>
    <row r="55" spans="1:5" ht="12.75">
      <c r="A55" s="44"/>
      <c r="B55" s="45"/>
      <c r="C55" s="45"/>
      <c r="D55" s="45"/>
      <c r="E55" s="44"/>
    </row>
    <row r="56" spans="1:5" ht="12.75">
      <c r="A56" s="46"/>
      <c r="B56" s="47"/>
      <c r="C56" s="46"/>
      <c r="D56" s="45"/>
      <c r="E56" s="44"/>
    </row>
    <row r="57" spans="1:20" s="403" customFormat="1" ht="27" customHeight="1">
      <c r="A57" s="401" t="s">
        <v>647</v>
      </c>
      <c r="C57" s="401"/>
      <c r="D57" s="401"/>
      <c r="E57" s="401"/>
      <c r="F57" s="401"/>
      <c r="G57" s="402" t="s">
        <v>648</v>
      </c>
      <c r="H57" s="401"/>
      <c r="J57" s="401"/>
      <c r="K57" s="401"/>
      <c r="L57" s="401"/>
      <c r="M57" s="401"/>
      <c r="N57" s="401"/>
      <c r="O57" s="401"/>
      <c r="P57" s="401"/>
      <c r="Q57" s="402"/>
      <c r="R57" s="401"/>
      <c r="S57" s="401"/>
      <c r="T57" s="401"/>
    </row>
    <row r="58" spans="1:248" ht="15">
      <c r="A58" s="247"/>
      <c r="C58" s="247"/>
      <c r="D58" s="247"/>
      <c r="E58" s="247"/>
      <c r="F58" s="247"/>
      <c r="G58" s="247"/>
      <c r="H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247"/>
      <c r="DF58" s="247"/>
      <c r="DG58" s="247"/>
      <c r="DH58" s="247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247"/>
      <c r="DX58" s="247"/>
      <c r="DY58" s="247"/>
      <c r="DZ58" s="247"/>
      <c r="EA58" s="247"/>
      <c r="EB58" s="247"/>
      <c r="EC58" s="247"/>
      <c r="ED58" s="247"/>
      <c r="EE58" s="247"/>
      <c r="EF58" s="247"/>
      <c r="EG58" s="247"/>
      <c r="EH58" s="247"/>
      <c r="EI58" s="247"/>
      <c r="EJ58" s="247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7"/>
      <c r="EZ58" s="247"/>
      <c r="FA58" s="247"/>
      <c r="FB58" s="247"/>
      <c r="FC58" s="247"/>
      <c r="FD58" s="247"/>
      <c r="FE58" s="247"/>
      <c r="FF58" s="247"/>
      <c r="FG58" s="247"/>
      <c r="FH58" s="247"/>
      <c r="FI58" s="247"/>
      <c r="FJ58" s="247"/>
      <c r="FK58" s="247"/>
      <c r="FL58" s="247"/>
      <c r="FM58" s="247"/>
      <c r="FN58" s="247"/>
      <c r="FO58" s="247"/>
      <c r="FP58" s="247"/>
      <c r="FQ58" s="247"/>
      <c r="FR58" s="247"/>
      <c r="FS58" s="247"/>
      <c r="FT58" s="247"/>
      <c r="FU58" s="247"/>
      <c r="FV58" s="247"/>
      <c r="FW58" s="247"/>
      <c r="FX58" s="247"/>
      <c r="FY58" s="247"/>
      <c r="FZ58" s="247"/>
      <c r="GA58" s="247"/>
      <c r="GB58" s="247"/>
      <c r="GC58" s="247"/>
      <c r="GD58" s="247"/>
      <c r="GE58" s="247"/>
      <c r="GF58" s="247"/>
      <c r="GG58" s="247"/>
      <c r="GH58" s="247"/>
      <c r="GI58" s="247"/>
      <c r="GJ58" s="247"/>
      <c r="GK58" s="247"/>
      <c r="GL58" s="247"/>
      <c r="GM58" s="247"/>
      <c r="GN58" s="247"/>
      <c r="GO58" s="247"/>
      <c r="GP58" s="247"/>
      <c r="GQ58" s="247"/>
      <c r="GR58" s="247"/>
      <c r="GS58" s="247"/>
      <c r="GT58" s="247"/>
      <c r="GU58" s="247"/>
      <c r="GV58" s="247"/>
      <c r="GW58" s="247"/>
      <c r="GX58" s="247"/>
      <c r="GY58" s="247"/>
      <c r="GZ58" s="247"/>
      <c r="HA58" s="247"/>
      <c r="HB58" s="247"/>
      <c r="HC58" s="247"/>
      <c r="HD58" s="247"/>
      <c r="HE58" s="247"/>
      <c r="HF58" s="247"/>
      <c r="HG58" s="247"/>
      <c r="HH58" s="247"/>
      <c r="HI58" s="247"/>
      <c r="HJ58" s="247"/>
      <c r="HK58" s="247"/>
      <c r="HL58" s="247"/>
      <c r="HM58" s="247"/>
      <c r="HN58" s="247"/>
      <c r="HO58" s="247"/>
      <c r="HP58" s="247"/>
      <c r="HQ58" s="247"/>
      <c r="HR58" s="247"/>
      <c r="HS58" s="247"/>
      <c r="HT58" s="247"/>
      <c r="HU58" s="247"/>
      <c r="HV58" s="247"/>
      <c r="HW58" s="247"/>
      <c r="HX58" s="247"/>
      <c r="HY58" s="247"/>
      <c r="HZ58" s="247"/>
      <c r="IA58" s="247"/>
      <c r="IB58" s="247"/>
      <c r="IC58" s="247"/>
      <c r="ID58" s="247"/>
      <c r="IE58" s="247"/>
      <c r="IF58" s="247"/>
      <c r="IG58" s="247"/>
      <c r="IH58" s="247"/>
      <c r="II58" s="247"/>
      <c r="IJ58" s="247"/>
      <c r="IK58" s="247"/>
      <c r="IL58" s="247"/>
      <c r="IM58" s="247"/>
      <c r="IN58" s="247"/>
    </row>
    <row r="59" spans="1:248" ht="15">
      <c r="A59" s="247"/>
      <c r="C59" s="247"/>
      <c r="D59" s="247"/>
      <c r="E59" s="247"/>
      <c r="F59" s="247"/>
      <c r="G59" s="247"/>
      <c r="H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247"/>
      <c r="DF59" s="247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247"/>
      <c r="DX59" s="247"/>
      <c r="DY59" s="247"/>
      <c r="DZ59" s="247"/>
      <c r="EA59" s="247"/>
      <c r="EB59" s="247"/>
      <c r="EC59" s="247"/>
      <c r="ED59" s="247"/>
      <c r="EE59" s="247"/>
      <c r="EF59" s="247"/>
      <c r="EG59" s="247"/>
      <c r="EH59" s="247"/>
      <c r="EI59" s="247"/>
      <c r="EJ59" s="247"/>
      <c r="EK59" s="247"/>
      <c r="EL59" s="247"/>
      <c r="EM59" s="247"/>
      <c r="EN59" s="247"/>
      <c r="EO59" s="247"/>
      <c r="EP59" s="247"/>
      <c r="EQ59" s="247"/>
      <c r="ER59" s="247"/>
      <c r="ES59" s="247"/>
      <c r="ET59" s="247"/>
      <c r="EU59" s="247"/>
      <c r="EV59" s="247"/>
      <c r="EW59" s="247"/>
      <c r="EX59" s="247"/>
      <c r="EY59" s="247"/>
      <c r="EZ59" s="247"/>
      <c r="FA59" s="247"/>
      <c r="FB59" s="247"/>
      <c r="FC59" s="247"/>
      <c r="FD59" s="247"/>
      <c r="FE59" s="247"/>
      <c r="FF59" s="247"/>
      <c r="FG59" s="247"/>
      <c r="FH59" s="247"/>
      <c r="FI59" s="247"/>
      <c r="FJ59" s="247"/>
      <c r="FK59" s="247"/>
      <c r="FL59" s="247"/>
      <c r="FM59" s="247"/>
      <c r="FN59" s="247"/>
      <c r="FO59" s="247"/>
      <c r="FP59" s="247"/>
      <c r="FQ59" s="247"/>
      <c r="FR59" s="247"/>
      <c r="FS59" s="247"/>
      <c r="FT59" s="247"/>
      <c r="FU59" s="247"/>
      <c r="FV59" s="247"/>
      <c r="FW59" s="247"/>
      <c r="FX59" s="247"/>
      <c r="FY59" s="247"/>
      <c r="FZ59" s="247"/>
      <c r="GA59" s="247"/>
      <c r="GB59" s="247"/>
      <c r="GC59" s="247"/>
      <c r="GD59" s="247"/>
      <c r="GE59" s="247"/>
      <c r="GF59" s="247"/>
      <c r="GG59" s="247"/>
      <c r="GH59" s="247"/>
      <c r="GI59" s="247"/>
      <c r="GJ59" s="247"/>
      <c r="GK59" s="247"/>
      <c r="GL59" s="247"/>
      <c r="GM59" s="247"/>
      <c r="GN59" s="247"/>
      <c r="GO59" s="247"/>
      <c r="GP59" s="247"/>
      <c r="GQ59" s="247"/>
      <c r="GR59" s="247"/>
      <c r="GS59" s="247"/>
      <c r="GT59" s="247"/>
      <c r="GU59" s="247"/>
      <c r="GV59" s="247"/>
      <c r="GW59" s="247"/>
      <c r="GX59" s="247"/>
      <c r="GY59" s="247"/>
      <c r="GZ59" s="247"/>
      <c r="HA59" s="247"/>
      <c r="HB59" s="247"/>
      <c r="HC59" s="247"/>
      <c r="HD59" s="247"/>
      <c r="HE59" s="247"/>
      <c r="HF59" s="247"/>
      <c r="HG59" s="247"/>
      <c r="HH59" s="247"/>
      <c r="HI59" s="247"/>
      <c r="HJ59" s="247"/>
      <c r="HK59" s="247"/>
      <c r="HL59" s="247"/>
      <c r="HM59" s="247"/>
      <c r="HN59" s="247"/>
      <c r="HO59" s="247"/>
      <c r="HP59" s="247"/>
      <c r="HQ59" s="247"/>
      <c r="HR59" s="247"/>
      <c r="HS59" s="247"/>
      <c r="HT59" s="247"/>
      <c r="HU59" s="247"/>
      <c r="HV59" s="247"/>
      <c r="HW59" s="247"/>
      <c r="HX59" s="247"/>
      <c r="HY59" s="247"/>
      <c r="HZ59" s="247"/>
      <c r="IA59" s="247"/>
      <c r="IB59" s="247"/>
      <c r="IC59" s="247"/>
      <c r="ID59" s="247"/>
      <c r="IE59" s="247"/>
      <c r="IF59" s="247"/>
      <c r="IG59" s="247"/>
      <c r="IH59" s="247"/>
      <c r="II59" s="247"/>
      <c r="IJ59" s="247"/>
      <c r="IK59" s="247"/>
      <c r="IL59" s="247"/>
      <c r="IM59" s="247"/>
      <c r="IN59" s="247"/>
    </row>
    <row r="60" spans="1:248" s="394" customFormat="1" ht="15">
      <c r="A60" s="409" t="s">
        <v>644</v>
      </c>
      <c r="C60" s="393"/>
      <c r="D60" s="393"/>
      <c r="E60" s="393"/>
      <c r="F60" s="393"/>
      <c r="G60" s="393" t="s">
        <v>645</v>
      </c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393"/>
      <c r="AJ60" s="393"/>
      <c r="AK60" s="393"/>
      <c r="AL60" s="393"/>
      <c r="AM60" s="393"/>
      <c r="AN60" s="393"/>
      <c r="AO60" s="393"/>
      <c r="AP60" s="393"/>
      <c r="AQ60" s="393"/>
      <c r="AR60" s="393"/>
      <c r="AS60" s="393"/>
      <c r="AT60" s="393"/>
      <c r="AU60" s="393"/>
      <c r="AV60" s="393"/>
      <c r="AW60" s="393"/>
      <c r="AX60" s="393"/>
      <c r="AY60" s="393"/>
      <c r="AZ60" s="393"/>
      <c r="BA60" s="393"/>
      <c r="BB60" s="393"/>
      <c r="BC60" s="393"/>
      <c r="BD60" s="393"/>
      <c r="BE60" s="393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3"/>
      <c r="BQ60" s="393"/>
      <c r="BR60" s="393"/>
      <c r="BS60" s="393"/>
      <c r="BT60" s="393"/>
      <c r="BU60" s="393"/>
      <c r="BV60" s="393"/>
      <c r="BW60" s="393"/>
      <c r="BX60" s="393"/>
      <c r="BY60" s="393"/>
      <c r="BZ60" s="393"/>
      <c r="CA60" s="393"/>
      <c r="CB60" s="393"/>
      <c r="CC60" s="393"/>
      <c r="CD60" s="393"/>
      <c r="CE60" s="393"/>
      <c r="CF60" s="393"/>
      <c r="CG60" s="393"/>
      <c r="CH60" s="393"/>
      <c r="CI60" s="393"/>
      <c r="CJ60" s="393"/>
      <c r="CK60" s="393"/>
      <c r="CL60" s="393"/>
      <c r="CM60" s="393"/>
      <c r="CN60" s="393"/>
      <c r="CO60" s="393"/>
      <c r="CP60" s="393"/>
      <c r="CQ60" s="393"/>
      <c r="CR60" s="393"/>
      <c r="CS60" s="393"/>
      <c r="CT60" s="393"/>
      <c r="CU60" s="393"/>
      <c r="CV60" s="393"/>
      <c r="CW60" s="393"/>
      <c r="CX60" s="393"/>
      <c r="CY60" s="393"/>
      <c r="CZ60" s="393"/>
      <c r="DA60" s="393"/>
      <c r="DB60" s="393"/>
      <c r="DC60" s="393"/>
      <c r="DD60" s="393"/>
      <c r="DE60" s="393"/>
      <c r="DF60" s="393"/>
      <c r="DG60" s="393"/>
      <c r="DH60" s="393"/>
      <c r="DI60" s="393"/>
      <c r="DJ60" s="393"/>
      <c r="DK60" s="393"/>
      <c r="DL60" s="393"/>
      <c r="DM60" s="393"/>
      <c r="DN60" s="393"/>
      <c r="DO60" s="393"/>
      <c r="DP60" s="393"/>
      <c r="DQ60" s="393"/>
      <c r="DR60" s="393"/>
      <c r="DS60" s="393"/>
      <c r="DT60" s="393"/>
      <c r="DU60" s="393"/>
      <c r="DV60" s="393"/>
      <c r="DW60" s="393"/>
      <c r="DX60" s="393"/>
      <c r="DY60" s="393"/>
      <c r="DZ60" s="393"/>
      <c r="EA60" s="393"/>
      <c r="EB60" s="393"/>
      <c r="EC60" s="393"/>
      <c r="ED60" s="393"/>
      <c r="EE60" s="393"/>
      <c r="EF60" s="393"/>
      <c r="EG60" s="393"/>
      <c r="EH60" s="393"/>
      <c r="EI60" s="393"/>
      <c r="EJ60" s="393"/>
      <c r="EK60" s="393"/>
      <c r="EL60" s="393"/>
      <c r="EM60" s="393"/>
      <c r="EN60" s="393"/>
      <c r="EO60" s="393"/>
      <c r="EP60" s="393"/>
      <c r="EQ60" s="393"/>
      <c r="ER60" s="393"/>
      <c r="ES60" s="393"/>
      <c r="ET60" s="393"/>
      <c r="EU60" s="393"/>
      <c r="EV60" s="393"/>
      <c r="EW60" s="393"/>
      <c r="EX60" s="393"/>
      <c r="EY60" s="393"/>
      <c r="EZ60" s="393"/>
      <c r="FA60" s="393"/>
      <c r="FB60" s="393"/>
      <c r="FC60" s="393"/>
      <c r="FD60" s="393"/>
      <c r="FE60" s="393"/>
      <c r="FF60" s="393"/>
      <c r="FG60" s="393"/>
      <c r="FH60" s="393"/>
      <c r="FI60" s="393"/>
      <c r="FJ60" s="393"/>
      <c r="FK60" s="393"/>
      <c r="FL60" s="393"/>
      <c r="FM60" s="393"/>
      <c r="FN60" s="393"/>
      <c r="FO60" s="393"/>
      <c r="FP60" s="393"/>
      <c r="FQ60" s="393"/>
      <c r="FR60" s="393"/>
      <c r="FS60" s="393"/>
      <c r="FT60" s="393"/>
      <c r="FU60" s="393"/>
      <c r="FV60" s="393"/>
      <c r="FW60" s="393"/>
      <c r="FX60" s="393"/>
      <c r="FY60" s="393"/>
      <c r="FZ60" s="393"/>
      <c r="GA60" s="393"/>
      <c r="GB60" s="393"/>
      <c r="GC60" s="393"/>
      <c r="GD60" s="393"/>
      <c r="GE60" s="393"/>
      <c r="GF60" s="393"/>
      <c r="GG60" s="393"/>
      <c r="GH60" s="393"/>
      <c r="GI60" s="393"/>
      <c r="GJ60" s="393"/>
      <c r="GK60" s="393"/>
      <c r="GL60" s="393"/>
      <c r="GM60" s="393"/>
      <c r="GN60" s="393"/>
      <c r="GO60" s="393"/>
      <c r="GP60" s="393"/>
      <c r="GQ60" s="393"/>
      <c r="GR60" s="393"/>
      <c r="GS60" s="393"/>
      <c r="GT60" s="393"/>
      <c r="GU60" s="393"/>
      <c r="GV60" s="393"/>
      <c r="GW60" s="393"/>
      <c r="GX60" s="393"/>
      <c r="GY60" s="393"/>
      <c r="GZ60" s="393"/>
      <c r="HA60" s="393"/>
      <c r="HB60" s="393"/>
      <c r="HC60" s="393"/>
      <c r="HD60" s="393"/>
      <c r="HE60" s="393"/>
      <c r="HF60" s="393"/>
      <c r="HG60" s="393"/>
      <c r="HH60" s="393"/>
      <c r="HI60" s="393"/>
      <c r="HJ60" s="393"/>
      <c r="HK60" s="393"/>
      <c r="HL60" s="393"/>
      <c r="HM60" s="393"/>
      <c r="HN60" s="393"/>
      <c r="HO60" s="393"/>
      <c r="HP60" s="393"/>
      <c r="HQ60" s="393"/>
      <c r="HR60" s="393"/>
      <c r="HS60" s="393"/>
      <c r="HT60" s="393"/>
      <c r="HU60" s="393"/>
      <c r="HV60" s="393"/>
      <c r="HW60" s="393"/>
      <c r="HX60" s="393"/>
      <c r="HY60" s="393"/>
      <c r="HZ60" s="393"/>
      <c r="IA60" s="393"/>
      <c r="IB60" s="393"/>
      <c r="IC60" s="393"/>
      <c r="ID60" s="393"/>
      <c r="IE60" s="393"/>
      <c r="IF60" s="393"/>
      <c r="IG60" s="393"/>
      <c r="IH60" s="393"/>
      <c r="II60" s="393"/>
      <c r="IJ60" s="393"/>
      <c r="IK60" s="393"/>
      <c r="IL60" s="393"/>
      <c r="IM60" s="393"/>
      <c r="IN60" s="393"/>
    </row>
  </sheetData>
  <sheetProtection/>
  <mergeCells count="6">
    <mergeCell ref="F7:G7"/>
    <mergeCell ref="H7:I7"/>
    <mergeCell ref="A5:D5"/>
    <mergeCell ref="A7:A8"/>
    <mergeCell ref="B7:C7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D18" sqref="D18"/>
    </sheetView>
  </sheetViews>
  <sheetFormatPr defaultColWidth="9.140625" defaultRowHeight="15"/>
  <cols>
    <col min="2" max="3" width="12.00390625" style="0" customWidth="1"/>
    <col min="4" max="4" width="25.421875" style="0" customWidth="1"/>
    <col min="5" max="5" width="11.00390625" style="0" customWidth="1"/>
    <col min="6" max="6" width="13.7109375" style="0" customWidth="1"/>
    <col min="7" max="7" width="10.28125" style="0" customWidth="1"/>
    <col min="8" max="8" width="11.140625" style="0" customWidth="1"/>
    <col min="9" max="9" width="10.421875" style="0" customWidth="1"/>
    <col min="10" max="10" width="18.28125" style="0" customWidth="1"/>
  </cols>
  <sheetData>
    <row r="1" ht="15">
      <c r="J1" s="1" t="s">
        <v>445</v>
      </c>
    </row>
    <row r="2" spans="4:10" s="1" customFormat="1" ht="15">
      <c r="D2" s="491" t="s">
        <v>0</v>
      </c>
      <c r="E2" s="491"/>
      <c r="F2" s="491"/>
      <c r="G2" s="491"/>
      <c r="H2" s="491"/>
      <c r="I2" s="491"/>
      <c r="J2" s="491"/>
    </row>
    <row r="3" spans="4:10" s="1" customFormat="1" ht="15">
      <c r="D3" s="54"/>
      <c r="E3" s="54"/>
      <c r="F3" s="54"/>
      <c r="G3" s="54"/>
      <c r="H3" s="54"/>
      <c r="I3" s="54"/>
      <c r="J3" s="54"/>
    </row>
    <row r="4" spans="4:10" s="1" customFormat="1" ht="15">
      <c r="D4" s="54"/>
      <c r="E4" s="54"/>
      <c r="F4" s="54"/>
      <c r="G4" s="54"/>
      <c r="H4" s="54"/>
      <c r="I4" s="54"/>
      <c r="J4" s="54"/>
    </row>
    <row r="5" spans="1:4" s="1" customFormat="1" ht="15">
      <c r="A5" s="62" t="s">
        <v>628</v>
      </c>
      <c r="B5" s="55"/>
      <c r="C5" s="55"/>
      <c r="D5" s="55"/>
    </row>
    <row r="6" s="1" customFormat="1" ht="15.75" thickBot="1">
      <c r="J6" s="1" t="s">
        <v>46</v>
      </c>
    </row>
    <row r="7" spans="1:10" s="1" customFormat="1" ht="15.75" thickBot="1">
      <c r="A7" s="2"/>
      <c r="B7" s="5" t="s">
        <v>24</v>
      </c>
      <c r="C7" s="5"/>
      <c r="D7" s="5" t="s">
        <v>16</v>
      </c>
      <c r="E7" s="10" t="s">
        <v>1</v>
      </c>
      <c r="F7" s="5" t="s">
        <v>30</v>
      </c>
      <c r="G7" s="492" t="s">
        <v>31</v>
      </c>
      <c r="H7" s="493"/>
      <c r="I7" s="494"/>
      <c r="J7" s="5" t="s">
        <v>8</v>
      </c>
    </row>
    <row r="8" spans="1:10" s="1" customFormat="1" ht="15">
      <c r="A8" s="3" t="s">
        <v>23</v>
      </c>
      <c r="B8" s="11" t="s">
        <v>25</v>
      </c>
      <c r="C8" s="11" t="s">
        <v>26</v>
      </c>
      <c r="D8" s="11" t="s">
        <v>27</v>
      </c>
      <c r="E8" s="11" t="s">
        <v>2</v>
      </c>
      <c r="F8" s="6" t="s">
        <v>3</v>
      </c>
      <c r="G8" s="17" t="s">
        <v>4</v>
      </c>
      <c r="H8" s="5" t="s">
        <v>5</v>
      </c>
      <c r="I8" s="5" t="s">
        <v>7</v>
      </c>
      <c r="J8" s="6" t="s">
        <v>9</v>
      </c>
    </row>
    <row r="9" spans="1:10" s="1" customFormat="1" ht="15.75" thickBot="1">
      <c r="A9" s="4"/>
      <c r="B9" s="4"/>
      <c r="C9" s="4"/>
      <c r="D9" s="7" t="s">
        <v>28</v>
      </c>
      <c r="E9" s="12" t="s">
        <v>29</v>
      </c>
      <c r="F9" s="4"/>
      <c r="G9" s="18"/>
      <c r="H9" s="7" t="s">
        <v>6</v>
      </c>
      <c r="I9" s="7"/>
      <c r="J9" s="7" t="s">
        <v>10</v>
      </c>
    </row>
    <row r="10" spans="1:10" s="1" customFormat="1" ht="15">
      <c r="A10" s="274">
        <v>1</v>
      </c>
      <c r="B10" s="9" t="s">
        <v>622</v>
      </c>
      <c r="C10" s="276">
        <v>42035</v>
      </c>
      <c r="D10" s="9" t="s">
        <v>623</v>
      </c>
      <c r="E10" s="274" t="s">
        <v>560</v>
      </c>
      <c r="F10" s="288">
        <f>89.8/1000</f>
        <v>0.08979999999999999</v>
      </c>
      <c r="G10" s="279">
        <f>H10+I10</f>
        <v>1271.7399999999998</v>
      </c>
      <c r="H10" s="279">
        <f>930*1.18</f>
        <v>1097.3999999999999</v>
      </c>
      <c r="I10" s="279">
        <v>174.34</v>
      </c>
      <c r="J10" s="278">
        <f>F10*G10</f>
        <v>114.20225199999997</v>
      </c>
    </row>
    <row r="11" spans="1:10" s="1" customFormat="1" ht="15">
      <c r="A11" s="280">
        <v>2</v>
      </c>
      <c r="B11" s="8" t="s">
        <v>624</v>
      </c>
      <c r="C11" s="282">
        <v>42093</v>
      </c>
      <c r="D11" s="9" t="s">
        <v>623</v>
      </c>
      <c r="E11" s="280" t="s">
        <v>560</v>
      </c>
      <c r="F11" s="289">
        <f>90/1000</f>
        <v>0.09</v>
      </c>
      <c r="G11" s="279">
        <f>H11+I11</f>
        <v>1274.7099999999998</v>
      </c>
      <c r="H11" s="279">
        <f>930*1.18</f>
        <v>1097.3999999999999</v>
      </c>
      <c r="I11" s="267">
        <v>177.31</v>
      </c>
      <c r="J11" s="267">
        <f>F11*G11</f>
        <v>114.72389999999997</v>
      </c>
    </row>
    <row r="12" spans="1:10" s="1" customFormat="1" ht="15">
      <c r="A12" s="280">
        <v>3</v>
      </c>
      <c r="B12" s="8" t="s">
        <v>625</v>
      </c>
      <c r="C12" s="282">
        <v>42335</v>
      </c>
      <c r="D12" s="9" t="s">
        <v>623</v>
      </c>
      <c r="E12" s="280" t="s">
        <v>560</v>
      </c>
      <c r="F12" s="289">
        <f>89.94/1000</f>
        <v>0.08993999999999999</v>
      </c>
      <c r="G12" s="279">
        <f>H12+I12</f>
        <v>1329.3999999999999</v>
      </c>
      <c r="H12" s="279">
        <f>930*1.18</f>
        <v>1097.3999999999999</v>
      </c>
      <c r="I12" s="267">
        <v>232</v>
      </c>
      <c r="J12" s="267">
        <f>F12*G12</f>
        <v>119.56623599999998</v>
      </c>
    </row>
    <row r="13" spans="1:10" s="1" customFormat="1" ht="15">
      <c r="A13" s="280">
        <v>4</v>
      </c>
      <c r="B13" s="8" t="s">
        <v>626</v>
      </c>
      <c r="C13" s="282">
        <v>42364</v>
      </c>
      <c r="D13" s="8" t="s">
        <v>623</v>
      </c>
      <c r="E13" s="280" t="s">
        <v>560</v>
      </c>
      <c r="F13" s="289">
        <f>89.54/1000</f>
        <v>0.08954000000000001</v>
      </c>
      <c r="G13" s="279">
        <f>H13+I13</f>
        <v>1248.59</v>
      </c>
      <c r="H13" s="279">
        <f>930*1.18</f>
        <v>1097.3999999999999</v>
      </c>
      <c r="I13" s="267">
        <v>151.19</v>
      </c>
      <c r="J13" s="267">
        <f>F13*G13</f>
        <v>111.79874860000001</v>
      </c>
    </row>
    <row r="14" spans="1:10" s="1" customFormat="1" ht="15">
      <c r="A14" s="280">
        <v>5</v>
      </c>
      <c r="B14" s="8">
        <v>1391</v>
      </c>
      <c r="C14" s="282">
        <v>42369</v>
      </c>
      <c r="D14" s="8" t="s">
        <v>627</v>
      </c>
      <c r="E14" s="280" t="s">
        <v>560</v>
      </c>
      <c r="F14" s="289">
        <f>23.3/1000</f>
        <v>0.0233</v>
      </c>
      <c r="G14" s="279">
        <f>H14+I14</f>
        <v>1065.56</v>
      </c>
      <c r="H14" s="267">
        <v>800</v>
      </c>
      <c r="I14" s="267">
        <v>265.56</v>
      </c>
      <c r="J14" s="267">
        <f>F14*G14</f>
        <v>24.827548</v>
      </c>
    </row>
    <row r="15" spans="1:10" s="1" customFormat="1" ht="15">
      <c r="A15" s="280"/>
      <c r="B15" s="8"/>
      <c r="C15" s="282"/>
      <c r="D15" s="8" t="s">
        <v>629</v>
      </c>
      <c r="E15" s="280" t="s">
        <v>560</v>
      </c>
      <c r="F15" s="289">
        <f>SUM(F10:F14)</f>
        <v>0.38258</v>
      </c>
      <c r="G15" s="279"/>
      <c r="H15" s="267"/>
      <c r="I15" s="267"/>
      <c r="J15" s="267">
        <f>SUM(J10:J14)</f>
        <v>485.1186845999999</v>
      </c>
    </row>
    <row r="16" spans="1:10" s="1" customFormat="1" ht="15">
      <c r="A16" s="285"/>
      <c r="B16" s="13"/>
      <c r="C16" s="291"/>
      <c r="D16" s="13"/>
      <c r="E16" s="285"/>
      <c r="F16" s="292"/>
      <c r="G16" s="293"/>
      <c r="H16" s="293"/>
      <c r="I16" s="293"/>
      <c r="J16" s="293"/>
    </row>
    <row r="17" spans="1:10" s="1" customFormat="1" ht="15">
      <c r="A17" s="285"/>
      <c r="B17" s="13"/>
      <c r="C17" s="13"/>
      <c r="D17" s="13"/>
      <c r="E17" s="285"/>
      <c r="F17" s="13"/>
      <c r="G17" s="13"/>
      <c r="H17" s="13"/>
      <c r="I17" s="13"/>
      <c r="J17" s="13"/>
    </row>
    <row r="18" spans="1:5" s="1" customFormat="1" ht="15.75" thickBot="1">
      <c r="A18" s="290" t="s">
        <v>38</v>
      </c>
      <c r="D18" s="294">
        <f>J15/F15</f>
        <v>1268.0189361702126</v>
      </c>
      <c r="E18" s="19"/>
    </row>
    <row r="19" s="1" customFormat="1" ht="15"/>
    <row r="20" s="1" customFormat="1" ht="15"/>
    <row r="21" spans="1:7" s="398" customFormat="1" ht="16.5" customHeight="1">
      <c r="A21" s="398" t="s">
        <v>647</v>
      </c>
      <c r="G21" s="398" t="s">
        <v>648</v>
      </c>
    </row>
    <row r="22" s="398" customFormat="1" ht="15"/>
    <row r="23" spans="1:7" s="398" customFormat="1" ht="15">
      <c r="A23" s="398" t="s">
        <v>644</v>
      </c>
      <c r="G23" s="398" t="s">
        <v>645</v>
      </c>
    </row>
  </sheetData>
  <sheetProtection/>
  <mergeCells count="2">
    <mergeCell ref="D2:J2"/>
    <mergeCell ref="G7:I7"/>
  </mergeCells>
  <printOptions/>
  <pageMargins left="0.5118110236220472" right="0.31496062992125984" top="0.35433070866141736" bottom="0.7480314960629921" header="0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0">
      <selection activeCell="B6" sqref="B6"/>
    </sheetView>
  </sheetViews>
  <sheetFormatPr defaultColWidth="9.140625" defaultRowHeight="15"/>
  <cols>
    <col min="1" max="1" width="10.421875" style="74" customWidth="1"/>
    <col min="2" max="2" width="51.28125" style="1" customWidth="1"/>
    <col min="3" max="3" width="11.00390625" style="1" customWidth="1"/>
    <col min="4" max="4" width="10.8515625" style="1" customWidth="1"/>
    <col min="5" max="16384" width="9.140625" style="1" customWidth="1"/>
  </cols>
  <sheetData>
    <row r="1" ht="15">
      <c r="D1" s="1" t="s">
        <v>44</v>
      </c>
    </row>
    <row r="3" spans="2:3" ht="15">
      <c r="B3" s="410" t="s">
        <v>650</v>
      </c>
      <c r="C3" s="72"/>
    </row>
    <row r="4" ht="10.5" customHeight="1"/>
    <row r="5" spans="2:5" ht="15">
      <c r="B5" s="396" t="s">
        <v>651</v>
      </c>
      <c r="C5" s="55"/>
      <c r="D5" s="395"/>
      <c r="E5" s="55"/>
    </row>
    <row r="6" ht="15.75" thickBot="1">
      <c r="E6" s="63"/>
    </row>
    <row r="7" spans="1:5" ht="15">
      <c r="A7" s="68"/>
      <c r="B7" s="5"/>
      <c r="C7" s="5" t="s">
        <v>17</v>
      </c>
      <c r="D7" s="5" t="s">
        <v>18</v>
      </c>
      <c r="E7" s="6" t="s">
        <v>71</v>
      </c>
    </row>
    <row r="8" spans="1:5" ht="15">
      <c r="A8" s="69"/>
      <c r="B8" s="6" t="s">
        <v>19</v>
      </c>
      <c r="C8" s="6">
        <v>2015</v>
      </c>
      <c r="D8" s="6">
        <v>2015</v>
      </c>
      <c r="E8" s="6" t="s">
        <v>72</v>
      </c>
    </row>
    <row r="9" spans="1:5" ht="15">
      <c r="A9" s="69"/>
      <c r="B9" s="6"/>
      <c r="C9" s="6"/>
      <c r="D9" s="6"/>
      <c r="E9" s="6"/>
    </row>
    <row r="10" spans="1:5" ht="15" customHeight="1">
      <c r="A10" s="84" t="s">
        <v>169</v>
      </c>
      <c r="B10" s="75" t="s">
        <v>140</v>
      </c>
      <c r="C10" s="8">
        <f>C11</f>
        <v>426.98</v>
      </c>
      <c r="D10" s="8">
        <f>D11</f>
        <v>372.28</v>
      </c>
      <c r="E10" s="267">
        <f>D10-C10</f>
        <v>-54.700000000000045</v>
      </c>
    </row>
    <row r="11" spans="1:5" ht="15" customHeight="1">
      <c r="A11" s="84" t="s">
        <v>137</v>
      </c>
      <c r="B11" s="76" t="s">
        <v>141</v>
      </c>
      <c r="C11" s="8">
        <f>C28</f>
        <v>426.98</v>
      </c>
      <c r="D11" s="8">
        <f>D28</f>
        <v>372.28</v>
      </c>
      <c r="E11" s="267">
        <f>D11-C11</f>
        <v>-54.700000000000045</v>
      </c>
    </row>
    <row r="12" spans="1:5" ht="15" customHeight="1">
      <c r="A12" s="85" t="s">
        <v>170</v>
      </c>
      <c r="B12" s="77" t="s">
        <v>142</v>
      </c>
      <c r="C12" s="8"/>
      <c r="D12" s="8"/>
      <c r="E12" s="8"/>
    </row>
    <row r="13" spans="1:5" ht="15" customHeight="1">
      <c r="A13" s="85" t="s">
        <v>171</v>
      </c>
      <c r="B13" s="78" t="s">
        <v>143</v>
      </c>
      <c r="C13" s="8"/>
      <c r="D13" s="8"/>
      <c r="E13" s="8"/>
    </row>
    <row r="14" spans="1:5" ht="15" customHeight="1">
      <c r="A14" s="85" t="s">
        <v>172</v>
      </c>
      <c r="B14" s="79" t="s">
        <v>144</v>
      </c>
      <c r="C14" s="8"/>
      <c r="D14" s="8"/>
      <c r="E14" s="8"/>
    </row>
    <row r="15" spans="1:5" ht="15" customHeight="1">
      <c r="A15" s="85" t="s">
        <v>173</v>
      </c>
      <c r="B15" s="79" t="s">
        <v>145</v>
      </c>
      <c r="C15" s="8"/>
      <c r="D15" s="8"/>
      <c r="E15" s="8"/>
    </row>
    <row r="16" spans="1:5" ht="15" customHeight="1">
      <c r="A16" s="85" t="s">
        <v>174</v>
      </c>
      <c r="B16" s="78" t="s">
        <v>146</v>
      </c>
      <c r="C16" s="8"/>
      <c r="D16" s="8"/>
      <c r="E16" s="8"/>
    </row>
    <row r="17" spans="1:5" ht="15" customHeight="1">
      <c r="A17" s="85" t="s">
        <v>203</v>
      </c>
      <c r="B17" s="79" t="s">
        <v>144</v>
      </c>
      <c r="C17" s="8"/>
      <c r="D17" s="8"/>
      <c r="E17" s="8"/>
    </row>
    <row r="18" spans="1:5" ht="15" customHeight="1">
      <c r="A18" s="85" t="s">
        <v>204</v>
      </c>
      <c r="B18" s="79" t="s">
        <v>145</v>
      </c>
      <c r="C18" s="8"/>
      <c r="D18" s="8"/>
      <c r="E18" s="8"/>
    </row>
    <row r="19" spans="1:5" ht="15" customHeight="1">
      <c r="A19" s="85" t="s">
        <v>205</v>
      </c>
      <c r="B19" s="78" t="s">
        <v>147</v>
      </c>
      <c r="C19" s="8"/>
      <c r="D19" s="8"/>
      <c r="E19" s="8"/>
    </row>
    <row r="20" spans="1:5" ht="15" customHeight="1">
      <c r="A20" s="85" t="s">
        <v>206</v>
      </c>
      <c r="B20" s="79" t="s">
        <v>144</v>
      </c>
      <c r="C20" s="8"/>
      <c r="D20" s="8"/>
      <c r="E20" s="8"/>
    </row>
    <row r="21" spans="1:5" ht="15" customHeight="1">
      <c r="A21" s="85" t="s">
        <v>207</v>
      </c>
      <c r="B21" s="79" t="s">
        <v>145</v>
      </c>
      <c r="C21" s="8"/>
      <c r="D21" s="8"/>
      <c r="E21" s="8"/>
    </row>
    <row r="22" spans="1:5" ht="15" customHeight="1">
      <c r="A22" s="85" t="s">
        <v>208</v>
      </c>
      <c r="B22" s="79" t="s">
        <v>148</v>
      </c>
      <c r="C22" s="8"/>
      <c r="D22" s="8"/>
      <c r="E22" s="8"/>
    </row>
    <row r="23" spans="1:5" ht="15" customHeight="1">
      <c r="A23" s="85" t="s">
        <v>209</v>
      </c>
      <c r="B23" s="78" t="s">
        <v>149</v>
      </c>
      <c r="C23" s="8"/>
      <c r="D23" s="8"/>
      <c r="E23" s="8"/>
    </row>
    <row r="24" spans="1:5" ht="15" customHeight="1">
      <c r="A24" s="85" t="s">
        <v>210</v>
      </c>
      <c r="B24" s="79" t="s">
        <v>144</v>
      </c>
      <c r="C24" s="8"/>
      <c r="D24" s="8"/>
      <c r="E24" s="8"/>
    </row>
    <row r="25" spans="1:5" ht="15" customHeight="1">
      <c r="A25" s="85" t="s">
        <v>211</v>
      </c>
      <c r="B25" s="79" t="s">
        <v>145</v>
      </c>
      <c r="C25" s="8"/>
      <c r="D25" s="8"/>
      <c r="E25" s="8"/>
    </row>
    <row r="26" spans="1:5" ht="15" customHeight="1">
      <c r="A26" s="85" t="s">
        <v>212</v>
      </c>
      <c r="B26" s="79" t="s">
        <v>148</v>
      </c>
      <c r="C26" s="8"/>
      <c r="D26" s="8"/>
      <c r="E26" s="8"/>
    </row>
    <row r="27" spans="1:5" ht="15" customHeight="1">
      <c r="A27" s="84" t="s">
        <v>175</v>
      </c>
      <c r="B27" s="77" t="s">
        <v>150</v>
      </c>
      <c r="C27" s="8"/>
      <c r="D27" s="8"/>
      <c r="E27" s="8"/>
    </row>
    <row r="28" spans="1:5" ht="32.25" customHeight="1">
      <c r="A28" s="84" t="s">
        <v>176</v>
      </c>
      <c r="B28" s="77" t="s">
        <v>151</v>
      </c>
      <c r="C28" s="8">
        <v>426.98</v>
      </c>
      <c r="D28" s="8">
        <v>372.28</v>
      </c>
      <c r="E28" s="267">
        <f>D28-C28</f>
        <v>-54.700000000000045</v>
      </c>
    </row>
    <row r="29" spans="1:5" ht="15" customHeight="1">
      <c r="A29" s="80" t="s">
        <v>213</v>
      </c>
      <c r="B29" s="81" t="s">
        <v>152</v>
      </c>
      <c r="C29" s="267">
        <v>98.61</v>
      </c>
      <c r="D29" s="267">
        <v>76.47</v>
      </c>
      <c r="E29" s="267">
        <f>D29-C29</f>
        <v>-22.14</v>
      </c>
    </row>
    <row r="30" spans="1:5" ht="15" customHeight="1">
      <c r="A30" s="80" t="s">
        <v>214</v>
      </c>
      <c r="B30" s="81" t="s">
        <v>153</v>
      </c>
      <c r="C30" s="267"/>
      <c r="D30" s="267"/>
      <c r="E30" s="267"/>
    </row>
    <row r="31" spans="1:5" ht="15" customHeight="1">
      <c r="A31" s="80" t="s">
        <v>215</v>
      </c>
      <c r="B31" s="81" t="s">
        <v>154</v>
      </c>
      <c r="C31" s="8">
        <v>426.98</v>
      </c>
      <c r="D31" s="8">
        <v>372.28</v>
      </c>
      <c r="E31" s="267">
        <f>D31-C31</f>
        <v>-54.700000000000045</v>
      </c>
    </row>
    <row r="32" spans="1:5" ht="15" customHeight="1">
      <c r="A32" s="80" t="s">
        <v>216</v>
      </c>
      <c r="B32" s="82" t="s">
        <v>155</v>
      </c>
      <c r="C32" s="267">
        <f>C31/C33</f>
        <v>4.329986816752865</v>
      </c>
      <c r="D32" s="267">
        <f>D31/D33</f>
        <v>4.868314371649013</v>
      </c>
      <c r="E32" s="267">
        <f>D32-C32</f>
        <v>0.5383275548961475</v>
      </c>
    </row>
    <row r="33" spans="1:5" ht="15" customHeight="1">
      <c r="A33" s="80" t="s">
        <v>217</v>
      </c>
      <c r="B33" s="82" t="s">
        <v>152</v>
      </c>
      <c r="C33" s="267">
        <v>98.61</v>
      </c>
      <c r="D33" s="267">
        <v>76.47</v>
      </c>
      <c r="E33" s="267">
        <f>D33-C33</f>
        <v>-22.14</v>
      </c>
    </row>
    <row r="34" spans="1:5" ht="15" customHeight="1">
      <c r="A34" s="80" t="s">
        <v>218</v>
      </c>
      <c r="B34" s="81" t="s">
        <v>156</v>
      </c>
      <c r="C34" s="8"/>
      <c r="D34" s="8"/>
      <c r="E34" s="8"/>
    </row>
    <row r="35" spans="1:5" ht="15" customHeight="1">
      <c r="A35" s="80" t="s">
        <v>219</v>
      </c>
      <c r="B35" s="82" t="s">
        <v>157</v>
      </c>
      <c r="C35" s="8"/>
      <c r="D35" s="8"/>
      <c r="E35" s="8"/>
    </row>
    <row r="36" spans="1:5" ht="15" customHeight="1">
      <c r="A36" s="80" t="s">
        <v>220</v>
      </c>
      <c r="B36" s="82" t="s">
        <v>158</v>
      </c>
      <c r="C36" s="8"/>
      <c r="D36" s="8"/>
      <c r="E36" s="8"/>
    </row>
    <row r="37" spans="1:5" ht="15" customHeight="1">
      <c r="A37" s="80" t="s">
        <v>221</v>
      </c>
      <c r="B37" s="81" t="s">
        <v>159</v>
      </c>
      <c r="C37" s="8"/>
      <c r="D37" s="8"/>
      <c r="E37" s="8"/>
    </row>
    <row r="38" spans="1:5" ht="15" customHeight="1">
      <c r="A38" s="80" t="s">
        <v>222</v>
      </c>
      <c r="B38" s="82" t="s">
        <v>155</v>
      </c>
      <c r="C38" s="8"/>
      <c r="D38" s="8"/>
      <c r="E38" s="8"/>
    </row>
    <row r="39" spans="1:5" ht="15" customHeight="1">
      <c r="A39" s="80" t="s">
        <v>223</v>
      </c>
      <c r="B39" s="82" t="s">
        <v>152</v>
      </c>
      <c r="C39" s="8"/>
      <c r="D39" s="8"/>
      <c r="E39" s="8"/>
    </row>
    <row r="40" spans="1:5" ht="15" customHeight="1">
      <c r="A40" s="80" t="s">
        <v>224</v>
      </c>
      <c r="B40" s="81" t="s">
        <v>160</v>
      </c>
      <c r="C40" s="8"/>
      <c r="D40" s="8"/>
      <c r="E40" s="8"/>
    </row>
    <row r="41" spans="1:5" ht="15" customHeight="1">
      <c r="A41" s="80" t="s">
        <v>225</v>
      </c>
      <c r="B41" s="82" t="s">
        <v>157</v>
      </c>
      <c r="C41" s="8"/>
      <c r="D41" s="8"/>
      <c r="E41" s="8"/>
    </row>
    <row r="42" spans="1:5" ht="15" customHeight="1">
      <c r="A42" s="80" t="s">
        <v>226</v>
      </c>
      <c r="B42" s="82" t="s">
        <v>158</v>
      </c>
      <c r="C42" s="8"/>
      <c r="D42" s="8"/>
      <c r="E42" s="8"/>
    </row>
    <row r="43" spans="1:5" ht="15" customHeight="1">
      <c r="A43" s="80" t="s">
        <v>227</v>
      </c>
      <c r="B43" s="81" t="s">
        <v>161</v>
      </c>
      <c r="C43" s="8"/>
      <c r="D43" s="8"/>
      <c r="E43" s="8"/>
    </row>
    <row r="44" spans="1:5" ht="15" customHeight="1">
      <c r="A44" s="80" t="s">
        <v>228</v>
      </c>
      <c r="B44" s="82" t="s">
        <v>155</v>
      </c>
      <c r="C44" s="8"/>
      <c r="D44" s="8"/>
      <c r="E44" s="8"/>
    </row>
    <row r="45" spans="1:5" ht="15" customHeight="1">
      <c r="A45" s="80" t="s">
        <v>229</v>
      </c>
      <c r="B45" s="82" t="s">
        <v>152</v>
      </c>
      <c r="C45" s="8"/>
      <c r="D45" s="8"/>
      <c r="E45" s="8"/>
    </row>
    <row r="46" spans="1:5" ht="15" customHeight="1">
      <c r="A46" s="80" t="s">
        <v>230</v>
      </c>
      <c r="B46" s="81" t="s">
        <v>162</v>
      </c>
      <c r="C46" s="8"/>
      <c r="D46" s="8"/>
      <c r="E46" s="8"/>
    </row>
    <row r="47" spans="1:5" ht="15" customHeight="1">
      <c r="A47" s="80" t="s">
        <v>231</v>
      </c>
      <c r="B47" s="82" t="s">
        <v>157</v>
      </c>
      <c r="C47" s="8"/>
      <c r="D47" s="8"/>
      <c r="E47" s="8"/>
    </row>
    <row r="48" spans="1:5" ht="15" customHeight="1">
      <c r="A48" s="80" t="s">
        <v>232</v>
      </c>
      <c r="B48" s="82" t="s">
        <v>158</v>
      </c>
      <c r="C48" s="8"/>
      <c r="D48" s="8"/>
      <c r="E48" s="8"/>
    </row>
    <row r="49" spans="1:5" ht="15" customHeight="1">
      <c r="A49" s="80" t="s">
        <v>233</v>
      </c>
      <c r="B49" s="81" t="s">
        <v>163</v>
      </c>
      <c r="C49" s="8"/>
      <c r="D49" s="8"/>
      <c r="E49" s="8"/>
    </row>
    <row r="50" spans="1:5" ht="15" customHeight="1">
      <c r="A50" s="80" t="s">
        <v>234</v>
      </c>
      <c r="B50" s="82" t="s">
        <v>155</v>
      </c>
      <c r="C50" s="8"/>
      <c r="D50" s="8"/>
      <c r="E50" s="8"/>
    </row>
    <row r="51" spans="1:5" ht="15" customHeight="1">
      <c r="A51" s="80" t="s">
        <v>235</v>
      </c>
      <c r="B51" s="82" t="s">
        <v>152</v>
      </c>
      <c r="C51" s="8"/>
      <c r="D51" s="8"/>
      <c r="E51" s="8"/>
    </row>
    <row r="52" spans="1:5" ht="15" customHeight="1">
      <c r="A52" s="80" t="s">
        <v>236</v>
      </c>
      <c r="B52" s="81" t="s">
        <v>164</v>
      </c>
      <c r="C52" s="8"/>
      <c r="D52" s="8"/>
      <c r="E52" s="8"/>
    </row>
    <row r="53" spans="1:5" ht="15" customHeight="1">
      <c r="A53" s="80" t="s">
        <v>237</v>
      </c>
      <c r="B53" s="82" t="s">
        <v>157</v>
      </c>
      <c r="C53" s="8"/>
      <c r="D53" s="8"/>
      <c r="E53" s="8"/>
    </row>
    <row r="54" spans="1:5" ht="15" customHeight="1">
      <c r="A54" s="80" t="s">
        <v>238</v>
      </c>
      <c r="B54" s="82" t="s">
        <v>158</v>
      </c>
      <c r="C54" s="8"/>
      <c r="D54" s="8"/>
      <c r="E54" s="8"/>
    </row>
    <row r="55" spans="1:5" ht="15" customHeight="1">
      <c r="A55" s="85" t="s">
        <v>139</v>
      </c>
      <c r="B55" s="76" t="s">
        <v>165</v>
      </c>
      <c r="C55" s="8"/>
      <c r="D55" s="8"/>
      <c r="E55" s="8"/>
    </row>
    <row r="56" spans="1:5" ht="15" customHeight="1">
      <c r="A56" s="85" t="s">
        <v>116</v>
      </c>
      <c r="B56" s="77" t="s">
        <v>166</v>
      </c>
      <c r="C56" s="8"/>
      <c r="D56" s="8"/>
      <c r="E56" s="8"/>
    </row>
    <row r="57" spans="1:5" ht="15" customHeight="1">
      <c r="A57" s="80" t="s">
        <v>117</v>
      </c>
      <c r="B57" s="83" t="s">
        <v>167</v>
      </c>
      <c r="C57" s="8"/>
      <c r="D57" s="8"/>
      <c r="E57" s="8"/>
    </row>
    <row r="58" spans="1:5" ht="15" customHeight="1">
      <c r="A58" s="80" t="s">
        <v>177</v>
      </c>
      <c r="B58" s="81" t="s">
        <v>152</v>
      </c>
      <c r="C58" s="8"/>
      <c r="D58" s="8"/>
      <c r="E58" s="8"/>
    </row>
    <row r="59" spans="1:5" ht="15" customHeight="1">
      <c r="A59" s="80" t="s">
        <v>178</v>
      </c>
      <c r="B59" s="81" t="s">
        <v>153</v>
      </c>
      <c r="C59" s="8"/>
      <c r="D59" s="8"/>
      <c r="E59" s="8"/>
    </row>
    <row r="60" spans="1:5" ht="15" customHeight="1">
      <c r="A60" s="80" t="s">
        <v>179</v>
      </c>
      <c r="B60" s="81" t="s">
        <v>154</v>
      </c>
      <c r="C60" s="8"/>
      <c r="D60" s="8"/>
      <c r="E60" s="8"/>
    </row>
    <row r="61" spans="1:5" ht="15" customHeight="1">
      <c r="A61" s="80" t="s">
        <v>180</v>
      </c>
      <c r="B61" s="82" t="s">
        <v>155</v>
      </c>
      <c r="C61" s="8"/>
      <c r="D61" s="8"/>
      <c r="E61" s="8"/>
    </row>
    <row r="62" spans="1:5" ht="15" customHeight="1">
      <c r="A62" s="80" t="s">
        <v>181</v>
      </c>
      <c r="B62" s="82" t="s">
        <v>152</v>
      </c>
      <c r="C62" s="8"/>
      <c r="D62" s="8"/>
      <c r="E62" s="8"/>
    </row>
    <row r="63" spans="1:5" ht="15" customHeight="1">
      <c r="A63" s="80" t="s">
        <v>182</v>
      </c>
      <c r="B63" s="81" t="s">
        <v>156</v>
      </c>
      <c r="C63" s="8"/>
      <c r="D63" s="8"/>
      <c r="E63" s="8"/>
    </row>
    <row r="64" spans="1:5" ht="15" customHeight="1">
      <c r="A64" s="80" t="s">
        <v>183</v>
      </c>
      <c r="B64" s="82" t="s">
        <v>157</v>
      </c>
      <c r="C64" s="8"/>
      <c r="D64" s="8"/>
      <c r="E64" s="8"/>
    </row>
    <row r="65" spans="1:5" ht="15" customHeight="1">
      <c r="A65" s="80" t="s">
        <v>184</v>
      </c>
      <c r="B65" s="82" t="s">
        <v>158</v>
      </c>
      <c r="C65" s="8"/>
      <c r="D65" s="8"/>
      <c r="E65" s="8"/>
    </row>
    <row r="66" spans="1:5" ht="15" customHeight="1">
      <c r="A66" s="80" t="s">
        <v>185</v>
      </c>
      <c r="B66" s="81" t="s">
        <v>159</v>
      </c>
      <c r="C66" s="8"/>
      <c r="D66" s="8"/>
      <c r="E66" s="8"/>
    </row>
    <row r="67" spans="1:5" ht="15" customHeight="1">
      <c r="A67" s="80" t="s">
        <v>186</v>
      </c>
      <c r="B67" s="82" t="s">
        <v>155</v>
      </c>
      <c r="C67" s="8"/>
      <c r="D67" s="8"/>
      <c r="E67" s="8"/>
    </row>
    <row r="68" spans="1:5" ht="15" customHeight="1">
      <c r="A68" s="80" t="s">
        <v>187</v>
      </c>
      <c r="B68" s="82" t="s">
        <v>152</v>
      </c>
      <c r="C68" s="8"/>
      <c r="D68" s="8"/>
      <c r="E68" s="8"/>
    </row>
    <row r="69" spans="1:5" ht="15" customHeight="1">
      <c r="A69" s="80" t="s">
        <v>188</v>
      </c>
      <c r="B69" s="81" t="s">
        <v>160</v>
      </c>
      <c r="C69" s="8"/>
      <c r="D69" s="8"/>
      <c r="E69" s="8"/>
    </row>
    <row r="70" spans="1:5" ht="15" customHeight="1">
      <c r="A70" s="80" t="s">
        <v>189</v>
      </c>
      <c r="B70" s="82" t="s">
        <v>157</v>
      </c>
      <c r="C70" s="8"/>
      <c r="D70" s="8"/>
      <c r="E70" s="8"/>
    </row>
    <row r="71" spans="1:5" ht="15" customHeight="1">
      <c r="A71" s="80" t="s">
        <v>190</v>
      </c>
      <c r="B71" s="82" t="s">
        <v>158</v>
      </c>
      <c r="C71" s="8"/>
      <c r="D71" s="8"/>
      <c r="E71" s="8"/>
    </row>
    <row r="72" spans="1:5" ht="15" customHeight="1">
      <c r="A72" s="80" t="s">
        <v>191</v>
      </c>
      <c r="B72" s="81" t="s">
        <v>161</v>
      </c>
      <c r="C72" s="8"/>
      <c r="D72" s="8"/>
      <c r="E72" s="8"/>
    </row>
    <row r="73" spans="1:5" ht="15" customHeight="1">
      <c r="A73" s="80" t="s">
        <v>192</v>
      </c>
      <c r="B73" s="82" t="s">
        <v>155</v>
      </c>
      <c r="C73" s="8"/>
      <c r="D73" s="8"/>
      <c r="E73" s="8"/>
    </row>
    <row r="74" spans="1:5" ht="15" customHeight="1">
      <c r="A74" s="80" t="s">
        <v>193</v>
      </c>
      <c r="B74" s="82" t="s">
        <v>152</v>
      </c>
      <c r="C74" s="8"/>
      <c r="D74" s="8"/>
      <c r="E74" s="8"/>
    </row>
    <row r="75" spans="1:5" ht="15" customHeight="1">
      <c r="A75" s="80" t="s">
        <v>194</v>
      </c>
      <c r="B75" s="81" t="s">
        <v>162</v>
      </c>
      <c r="C75" s="8"/>
      <c r="D75" s="8"/>
      <c r="E75" s="8"/>
    </row>
    <row r="76" spans="1:5" ht="15" customHeight="1">
      <c r="A76" s="80" t="s">
        <v>195</v>
      </c>
      <c r="B76" s="82" t="s">
        <v>157</v>
      </c>
      <c r="C76" s="8"/>
      <c r="D76" s="8"/>
      <c r="E76" s="8"/>
    </row>
    <row r="77" spans="1:5" ht="15" customHeight="1">
      <c r="A77" s="80" t="s">
        <v>196</v>
      </c>
      <c r="B77" s="82" t="s">
        <v>158</v>
      </c>
      <c r="C77" s="8"/>
      <c r="D77" s="8"/>
      <c r="E77" s="8"/>
    </row>
    <row r="78" spans="1:5" ht="15" customHeight="1">
      <c r="A78" s="80" t="s">
        <v>197</v>
      </c>
      <c r="B78" s="81" t="s">
        <v>163</v>
      </c>
      <c r="C78" s="8"/>
      <c r="D78" s="8"/>
      <c r="E78" s="8"/>
    </row>
    <row r="79" spans="1:5" ht="15" customHeight="1">
      <c r="A79" s="80" t="s">
        <v>198</v>
      </c>
      <c r="B79" s="82" t="s">
        <v>155</v>
      </c>
      <c r="C79" s="8"/>
      <c r="D79" s="8"/>
      <c r="E79" s="8"/>
    </row>
    <row r="80" spans="1:5" ht="15" customHeight="1">
      <c r="A80" s="80" t="s">
        <v>199</v>
      </c>
      <c r="B80" s="82" t="s">
        <v>152</v>
      </c>
      <c r="C80" s="8"/>
      <c r="D80" s="8"/>
      <c r="E80" s="8"/>
    </row>
    <row r="81" spans="1:5" ht="15" customHeight="1">
      <c r="A81" s="80" t="s">
        <v>200</v>
      </c>
      <c r="B81" s="81" t="s">
        <v>164</v>
      </c>
      <c r="C81" s="8"/>
      <c r="D81" s="8"/>
      <c r="E81" s="8"/>
    </row>
    <row r="82" spans="1:5" ht="15" customHeight="1">
      <c r="A82" s="80" t="s">
        <v>201</v>
      </c>
      <c r="B82" s="82" t="s">
        <v>157</v>
      </c>
      <c r="C82" s="8"/>
      <c r="D82" s="8"/>
      <c r="E82" s="8"/>
    </row>
    <row r="83" spans="1:5" ht="15" customHeight="1">
      <c r="A83" s="80" t="s">
        <v>202</v>
      </c>
      <c r="B83" s="82" t="s">
        <v>158</v>
      </c>
      <c r="C83" s="8"/>
      <c r="D83" s="8"/>
      <c r="E83" s="8"/>
    </row>
    <row r="85" spans="2:4" ht="33.75" customHeight="1">
      <c r="B85" s="398" t="s">
        <v>649</v>
      </c>
      <c r="D85" s="398" t="s">
        <v>648</v>
      </c>
    </row>
    <row r="86" spans="2:4" ht="40.5" customHeight="1">
      <c r="B86" s="398" t="s">
        <v>644</v>
      </c>
      <c r="D86" s="398" t="s">
        <v>645</v>
      </c>
    </row>
  </sheetData>
  <sheetProtection/>
  <printOptions horizontalCentered="1"/>
  <pageMargins left="0.7086614173228347" right="0.7086614173228347" top="0.15748031496062992" bottom="0" header="0" footer="0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74">
      <selection activeCell="B95" sqref="B95"/>
    </sheetView>
  </sheetViews>
  <sheetFormatPr defaultColWidth="9.140625" defaultRowHeight="15"/>
  <cols>
    <col min="1" max="1" width="10.421875" style="74" customWidth="1"/>
    <col min="2" max="2" width="51.28125" style="1" customWidth="1"/>
    <col min="3" max="3" width="11.00390625" style="1" customWidth="1"/>
    <col min="4" max="4" width="10.8515625" style="1" customWidth="1"/>
    <col min="5" max="16384" width="9.140625" style="1" customWidth="1"/>
  </cols>
  <sheetData>
    <row r="1" ht="15">
      <c r="D1" s="1" t="s">
        <v>44</v>
      </c>
    </row>
    <row r="3" spans="2:3" ht="15">
      <c r="B3" s="72" t="s">
        <v>416</v>
      </c>
      <c r="C3" s="72"/>
    </row>
    <row r="4" ht="11.25" customHeight="1"/>
    <row r="5" spans="2:5" ht="15">
      <c r="B5" s="62" t="s">
        <v>630</v>
      </c>
      <c r="C5" s="400"/>
      <c r="D5" s="395" t="s">
        <v>638</v>
      </c>
      <c r="E5" s="400"/>
    </row>
    <row r="6" ht="15.75" thickBot="1">
      <c r="E6" s="63"/>
    </row>
    <row r="7" spans="1:5" ht="15">
      <c r="A7" s="68"/>
      <c r="B7" s="5"/>
      <c r="C7" s="5" t="s">
        <v>17</v>
      </c>
      <c r="D7" s="5" t="s">
        <v>18</v>
      </c>
      <c r="E7" s="6" t="s">
        <v>71</v>
      </c>
    </row>
    <row r="8" spans="1:5" ht="15">
      <c r="A8" s="69"/>
      <c r="B8" s="6" t="s">
        <v>19</v>
      </c>
      <c r="C8" s="6">
        <v>2015</v>
      </c>
      <c r="D8" s="6">
        <v>2015</v>
      </c>
      <c r="E8" s="6" t="s">
        <v>72</v>
      </c>
    </row>
    <row r="9" spans="1:5" ht="15">
      <c r="A9" s="69"/>
      <c r="B9" s="6"/>
      <c r="C9" s="6"/>
      <c r="D9" s="6"/>
      <c r="E9" s="6"/>
    </row>
    <row r="10" spans="1:5" ht="15">
      <c r="A10" s="84" t="s">
        <v>169</v>
      </c>
      <c r="B10" s="75" t="s">
        <v>140</v>
      </c>
      <c r="C10" s="8">
        <f>C11</f>
        <v>723.41</v>
      </c>
      <c r="D10" s="8">
        <f>D11</f>
        <v>487.43</v>
      </c>
      <c r="E10" s="267">
        <f>D10-C10</f>
        <v>-235.97999999999996</v>
      </c>
    </row>
    <row r="11" spans="1:5" ht="16.5" customHeight="1">
      <c r="A11" s="84" t="s">
        <v>137</v>
      </c>
      <c r="B11" s="76" t="s">
        <v>141</v>
      </c>
      <c r="C11" s="8">
        <f>C28</f>
        <v>723.41</v>
      </c>
      <c r="D11" s="8">
        <f>D28</f>
        <v>487.43</v>
      </c>
      <c r="E11" s="267">
        <f>D11-C11</f>
        <v>-235.97999999999996</v>
      </c>
    </row>
    <row r="12" spans="1:5" ht="15">
      <c r="A12" s="85" t="s">
        <v>170</v>
      </c>
      <c r="B12" s="77" t="s">
        <v>142</v>
      </c>
      <c r="C12" s="8"/>
      <c r="D12" s="8"/>
      <c r="E12" s="8"/>
    </row>
    <row r="13" spans="1:5" ht="15">
      <c r="A13" s="85" t="s">
        <v>171</v>
      </c>
      <c r="B13" s="78" t="s">
        <v>143</v>
      </c>
      <c r="C13" s="8"/>
      <c r="D13" s="8"/>
      <c r="E13" s="8"/>
    </row>
    <row r="14" spans="1:5" ht="15">
      <c r="A14" s="85" t="s">
        <v>172</v>
      </c>
      <c r="B14" s="79" t="s">
        <v>144</v>
      </c>
      <c r="C14" s="8"/>
      <c r="D14" s="8"/>
      <c r="E14" s="8"/>
    </row>
    <row r="15" spans="1:5" ht="15">
      <c r="A15" s="85" t="s">
        <v>173</v>
      </c>
      <c r="B15" s="79" t="s">
        <v>145</v>
      </c>
      <c r="C15" s="8"/>
      <c r="D15" s="8"/>
      <c r="E15" s="8"/>
    </row>
    <row r="16" spans="1:5" ht="15">
      <c r="A16" s="85" t="s">
        <v>174</v>
      </c>
      <c r="B16" s="78" t="s">
        <v>146</v>
      </c>
      <c r="C16" s="8"/>
      <c r="D16" s="8"/>
      <c r="E16" s="8"/>
    </row>
    <row r="17" spans="1:5" ht="15">
      <c r="A17" s="85" t="s">
        <v>203</v>
      </c>
      <c r="B17" s="79" t="s">
        <v>144</v>
      </c>
      <c r="C17" s="8"/>
      <c r="D17" s="8"/>
      <c r="E17" s="8"/>
    </row>
    <row r="18" spans="1:5" ht="15">
      <c r="A18" s="85" t="s">
        <v>204</v>
      </c>
      <c r="B18" s="79" t="s">
        <v>145</v>
      </c>
      <c r="C18" s="8"/>
      <c r="D18" s="8"/>
      <c r="E18" s="8"/>
    </row>
    <row r="19" spans="1:5" ht="15">
      <c r="A19" s="85" t="s">
        <v>205</v>
      </c>
      <c r="B19" s="78" t="s">
        <v>147</v>
      </c>
      <c r="C19" s="8"/>
      <c r="D19" s="8"/>
      <c r="E19" s="8"/>
    </row>
    <row r="20" spans="1:5" ht="15">
      <c r="A20" s="85" t="s">
        <v>206</v>
      </c>
      <c r="B20" s="79" t="s">
        <v>144</v>
      </c>
      <c r="C20" s="8"/>
      <c r="D20" s="8"/>
      <c r="E20" s="8"/>
    </row>
    <row r="21" spans="1:5" ht="15">
      <c r="A21" s="85" t="s">
        <v>207</v>
      </c>
      <c r="B21" s="79" t="s">
        <v>145</v>
      </c>
      <c r="C21" s="8"/>
      <c r="D21" s="8"/>
      <c r="E21" s="8"/>
    </row>
    <row r="22" spans="1:5" ht="15">
      <c r="A22" s="85" t="s">
        <v>208</v>
      </c>
      <c r="B22" s="79" t="s">
        <v>148</v>
      </c>
      <c r="C22" s="8"/>
      <c r="D22" s="8"/>
      <c r="E22" s="8"/>
    </row>
    <row r="23" spans="1:5" ht="15">
      <c r="A23" s="85" t="s">
        <v>209</v>
      </c>
      <c r="B23" s="78" t="s">
        <v>149</v>
      </c>
      <c r="C23" s="8"/>
      <c r="D23" s="8"/>
      <c r="E23" s="8"/>
    </row>
    <row r="24" spans="1:5" ht="15">
      <c r="A24" s="85" t="s">
        <v>210</v>
      </c>
      <c r="B24" s="79" t="s">
        <v>144</v>
      </c>
      <c r="C24" s="8"/>
      <c r="D24" s="8"/>
      <c r="E24" s="8"/>
    </row>
    <row r="25" spans="1:5" ht="15">
      <c r="A25" s="85" t="s">
        <v>211</v>
      </c>
      <c r="B25" s="79" t="s">
        <v>145</v>
      </c>
      <c r="C25" s="8"/>
      <c r="D25" s="8"/>
      <c r="E25" s="8"/>
    </row>
    <row r="26" spans="1:5" ht="15">
      <c r="A26" s="85" t="s">
        <v>212</v>
      </c>
      <c r="B26" s="79" t="s">
        <v>148</v>
      </c>
      <c r="C26" s="8"/>
      <c r="D26" s="8"/>
      <c r="E26" s="8"/>
    </row>
    <row r="27" spans="1:5" ht="30">
      <c r="A27" s="84" t="s">
        <v>175</v>
      </c>
      <c r="B27" s="77" t="s">
        <v>150</v>
      </c>
      <c r="C27" s="8"/>
      <c r="D27" s="8"/>
      <c r="E27" s="8"/>
    </row>
    <row r="28" spans="1:5" ht="30">
      <c r="A28" s="84" t="s">
        <v>176</v>
      </c>
      <c r="B28" s="77" t="s">
        <v>151</v>
      </c>
      <c r="C28" s="8">
        <v>723.41</v>
      </c>
      <c r="D28" s="8">
        <v>487.43</v>
      </c>
      <c r="E28" s="267">
        <f>D28-C28</f>
        <v>-235.97999999999996</v>
      </c>
    </row>
    <row r="29" spans="1:5" ht="15">
      <c r="A29" s="80" t="s">
        <v>213</v>
      </c>
      <c r="B29" s="81" t="s">
        <v>152</v>
      </c>
      <c r="C29" s="267">
        <v>172.23</v>
      </c>
      <c r="D29" s="267">
        <v>106.18</v>
      </c>
      <c r="E29" s="267">
        <f>D29-C29</f>
        <v>-66.04999999999998</v>
      </c>
    </row>
    <row r="30" spans="1:5" ht="15">
      <c r="A30" s="80" t="s">
        <v>214</v>
      </c>
      <c r="B30" s="81" t="s">
        <v>153</v>
      </c>
      <c r="C30" s="267"/>
      <c r="D30" s="267"/>
      <c r="E30" s="267"/>
    </row>
    <row r="31" spans="1:5" ht="15">
      <c r="A31" s="80" t="s">
        <v>215</v>
      </c>
      <c r="B31" s="81" t="s">
        <v>154</v>
      </c>
      <c r="C31" s="8">
        <v>723.41</v>
      </c>
      <c r="D31" s="8">
        <v>487.43</v>
      </c>
      <c r="E31" s="267">
        <f>D31-C31</f>
        <v>-235.97999999999996</v>
      </c>
    </row>
    <row r="32" spans="1:5" ht="15">
      <c r="A32" s="80" t="s">
        <v>216</v>
      </c>
      <c r="B32" s="82" t="s">
        <v>155</v>
      </c>
      <c r="C32" s="267">
        <f>C31/C33</f>
        <v>4.200255472333508</v>
      </c>
      <c r="D32" s="267">
        <f>D31/D33</f>
        <v>4.590600866453192</v>
      </c>
      <c r="E32" s="267">
        <f>D32-C32</f>
        <v>0.3903453941196844</v>
      </c>
    </row>
    <row r="33" spans="1:5" ht="15">
      <c r="A33" s="80" t="s">
        <v>217</v>
      </c>
      <c r="B33" s="82" t="s">
        <v>152</v>
      </c>
      <c r="C33" s="267">
        <v>172.23</v>
      </c>
      <c r="D33" s="267">
        <v>106.18</v>
      </c>
      <c r="E33" s="267">
        <f>D33-C33</f>
        <v>-66.04999999999998</v>
      </c>
    </row>
    <row r="34" spans="1:5" ht="15">
      <c r="A34" s="80" t="s">
        <v>218</v>
      </c>
      <c r="B34" s="81" t="s">
        <v>156</v>
      </c>
      <c r="C34" s="8"/>
      <c r="D34" s="8"/>
      <c r="E34" s="8"/>
    </row>
    <row r="35" spans="1:5" ht="15">
      <c r="A35" s="80" t="s">
        <v>219</v>
      </c>
      <c r="B35" s="82" t="s">
        <v>157</v>
      </c>
      <c r="C35" s="8"/>
      <c r="D35" s="8"/>
      <c r="E35" s="8"/>
    </row>
    <row r="36" spans="1:5" ht="15">
      <c r="A36" s="80" t="s">
        <v>220</v>
      </c>
      <c r="B36" s="82" t="s">
        <v>158</v>
      </c>
      <c r="C36" s="8"/>
      <c r="D36" s="8"/>
      <c r="E36" s="8"/>
    </row>
    <row r="37" spans="1:5" ht="15">
      <c r="A37" s="80" t="s">
        <v>221</v>
      </c>
      <c r="B37" s="81" t="s">
        <v>159</v>
      </c>
      <c r="C37" s="8"/>
      <c r="D37" s="8"/>
      <c r="E37" s="8"/>
    </row>
    <row r="38" spans="1:5" ht="15">
      <c r="A38" s="80" t="s">
        <v>222</v>
      </c>
      <c r="B38" s="82" t="s">
        <v>155</v>
      </c>
      <c r="C38" s="8"/>
      <c r="D38" s="8"/>
      <c r="E38" s="8"/>
    </row>
    <row r="39" spans="1:5" ht="15">
      <c r="A39" s="80" t="s">
        <v>223</v>
      </c>
      <c r="B39" s="82" t="s">
        <v>152</v>
      </c>
      <c r="C39" s="8"/>
      <c r="D39" s="8"/>
      <c r="E39" s="8"/>
    </row>
    <row r="40" spans="1:5" ht="15">
      <c r="A40" s="80" t="s">
        <v>224</v>
      </c>
      <c r="B40" s="81" t="s">
        <v>160</v>
      </c>
      <c r="C40" s="8"/>
      <c r="D40" s="8"/>
      <c r="E40" s="8"/>
    </row>
    <row r="41" spans="1:5" ht="15">
      <c r="A41" s="80" t="s">
        <v>225</v>
      </c>
      <c r="B41" s="82" t="s">
        <v>157</v>
      </c>
      <c r="C41" s="8"/>
      <c r="D41" s="8"/>
      <c r="E41" s="8"/>
    </row>
    <row r="42" spans="1:5" ht="15">
      <c r="A42" s="80" t="s">
        <v>226</v>
      </c>
      <c r="B42" s="82" t="s">
        <v>158</v>
      </c>
      <c r="C42" s="8"/>
      <c r="D42" s="8"/>
      <c r="E42" s="8"/>
    </row>
    <row r="43" spans="1:5" ht="15">
      <c r="A43" s="80" t="s">
        <v>227</v>
      </c>
      <c r="B43" s="81" t="s">
        <v>161</v>
      </c>
      <c r="C43" s="8"/>
      <c r="D43" s="8"/>
      <c r="E43" s="8"/>
    </row>
    <row r="44" spans="1:5" ht="15">
      <c r="A44" s="80" t="s">
        <v>228</v>
      </c>
      <c r="B44" s="82" t="s">
        <v>155</v>
      </c>
      <c r="C44" s="8"/>
      <c r="D44" s="8"/>
      <c r="E44" s="8"/>
    </row>
    <row r="45" spans="1:5" ht="15">
      <c r="A45" s="80" t="s">
        <v>229</v>
      </c>
      <c r="B45" s="82" t="s">
        <v>152</v>
      </c>
      <c r="C45" s="8"/>
      <c r="D45" s="8"/>
      <c r="E45" s="8"/>
    </row>
    <row r="46" spans="1:5" ht="15">
      <c r="A46" s="80" t="s">
        <v>230</v>
      </c>
      <c r="B46" s="81" t="s">
        <v>162</v>
      </c>
      <c r="C46" s="8"/>
      <c r="D46" s="8"/>
      <c r="E46" s="8"/>
    </row>
    <row r="47" spans="1:5" ht="15">
      <c r="A47" s="80" t="s">
        <v>231</v>
      </c>
      <c r="B47" s="82" t="s">
        <v>157</v>
      </c>
      <c r="C47" s="8"/>
      <c r="D47" s="8"/>
      <c r="E47" s="8"/>
    </row>
    <row r="48" spans="1:5" ht="15">
      <c r="A48" s="80" t="s">
        <v>232</v>
      </c>
      <c r="B48" s="82" t="s">
        <v>158</v>
      </c>
      <c r="C48" s="8"/>
      <c r="D48" s="8"/>
      <c r="E48" s="8"/>
    </row>
    <row r="49" spans="1:5" ht="15">
      <c r="A49" s="80" t="s">
        <v>233</v>
      </c>
      <c r="B49" s="81" t="s">
        <v>163</v>
      </c>
      <c r="C49" s="8"/>
      <c r="D49" s="8"/>
      <c r="E49" s="8"/>
    </row>
    <row r="50" spans="1:5" ht="15">
      <c r="A50" s="80" t="s">
        <v>234</v>
      </c>
      <c r="B50" s="82" t="s">
        <v>155</v>
      </c>
      <c r="C50" s="8"/>
      <c r="D50" s="8"/>
      <c r="E50" s="8"/>
    </row>
    <row r="51" spans="1:5" ht="15">
      <c r="A51" s="80" t="s">
        <v>235</v>
      </c>
      <c r="B51" s="82" t="s">
        <v>152</v>
      </c>
      <c r="C51" s="8"/>
      <c r="D51" s="8"/>
      <c r="E51" s="8"/>
    </row>
    <row r="52" spans="1:5" ht="15">
      <c r="A52" s="80" t="s">
        <v>236</v>
      </c>
      <c r="B52" s="81" t="s">
        <v>164</v>
      </c>
      <c r="C52" s="8"/>
      <c r="D52" s="8"/>
      <c r="E52" s="8"/>
    </row>
    <row r="53" spans="1:5" ht="15">
      <c r="A53" s="80" t="s">
        <v>237</v>
      </c>
      <c r="B53" s="82" t="s">
        <v>157</v>
      </c>
      <c r="C53" s="8"/>
      <c r="D53" s="8"/>
      <c r="E53" s="8"/>
    </row>
    <row r="54" spans="1:5" ht="15">
      <c r="A54" s="80" t="s">
        <v>238</v>
      </c>
      <c r="B54" s="82" t="s">
        <v>158</v>
      </c>
      <c r="C54" s="8"/>
      <c r="D54" s="8"/>
      <c r="E54" s="8"/>
    </row>
    <row r="55" spans="1:5" ht="15">
      <c r="A55" s="85" t="s">
        <v>139</v>
      </c>
      <c r="B55" s="76" t="s">
        <v>165</v>
      </c>
      <c r="C55" s="8"/>
      <c r="D55" s="8"/>
      <c r="E55" s="8"/>
    </row>
    <row r="56" spans="1:5" ht="15">
      <c r="A56" s="85" t="s">
        <v>116</v>
      </c>
      <c r="B56" s="77" t="s">
        <v>166</v>
      </c>
      <c r="C56" s="8"/>
      <c r="D56" s="8"/>
      <c r="E56" s="8"/>
    </row>
    <row r="57" spans="1:5" ht="15">
      <c r="A57" s="80" t="s">
        <v>117</v>
      </c>
      <c r="B57" s="83" t="s">
        <v>167</v>
      </c>
      <c r="C57" s="8"/>
      <c r="D57" s="8"/>
      <c r="E57" s="8"/>
    </row>
    <row r="58" spans="1:5" ht="15">
      <c r="A58" s="80" t="s">
        <v>177</v>
      </c>
      <c r="B58" s="81" t="s">
        <v>152</v>
      </c>
      <c r="C58" s="8"/>
      <c r="D58" s="8"/>
      <c r="E58" s="8"/>
    </row>
    <row r="59" spans="1:5" ht="15">
      <c r="A59" s="80" t="s">
        <v>178</v>
      </c>
      <c r="B59" s="81" t="s">
        <v>153</v>
      </c>
      <c r="C59" s="8"/>
      <c r="D59" s="8"/>
      <c r="E59" s="8"/>
    </row>
    <row r="60" spans="1:5" ht="15">
      <c r="A60" s="80" t="s">
        <v>179</v>
      </c>
      <c r="B60" s="81" t="s">
        <v>154</v>
      </c>
      <c r="C60" s="8"/>
      <c r="D60" s="8"/>
      <c r="E60" s="8"/>
    </row>
    <row r="61" spans="1:5" ht="15">
      <c r="A61" s="80" t="s">
        <v>180</v>
      </c>
      <c r="B61" s="82" t="s">
        <v>155</v>
      </c>
      <c r="C61" s="8"/>
      <c r="D61" s="8"/>
      <c r="E61" s="8"/>
    </row>
    <row r="62" spans="1:5" ht="15">
      <c r="A62" s="80" t="s">
        <v>181</v>
      </c>
      <c r="B62" s="82" t="s">
        <v>152</v>
      </c>
      <c r="C62" s="8"/>
      <c r="D62" s="8"/>
      <c r="E62" s="8"/>
    </row>
    <row r="63" spans="1:5" ht="15">
      <c r="A63" s="80" t="s">
        <v>182</v>
      </c>
      <c r="B63" s="81" t="s">
        <v>156</v>
      </c>
      <c r="C63" s="8"/>
      <c r="D63" s="8"/>
      <c r="E63" s="8"/>
    </row>
    <row r="64" spans="1:5" ht="15">
      <c r="A64" s="80" t="s">
        <v>183</v>
      </c>
      <c r="B64" s="82" t="s">
        <v>157</v>
      </c>
      <c r="C64" s="8"/>
      <c r="D64" s="8"/>
      <c r="E64" s="8"/>
    </row>
    <row r="65" spans="1:5" ht="15">
      <c r="A65" s="80" t="s">
        <v>184</v>
      </c>
      <c r="B65" s="82" t="s">
        <v>158</v>
      </c>
      <c r="C65" s="8"/>
      <c r="D65" s="8"/>
      <c r="E65" s="8"/>
    </row>
    <row r="66" spans="1:5" ht="15">
      <c r="A66" s="80" t="s">
        <v>185</v>
      </c>
      <c r="B66" s="81" t="s">
        <v>159</v>
      </c>
      <c r="C66" s="8"/>
      <c r="D66" s="8"/>
      <c r="E66" s="8"/>
    </row>
    <row r="67" spans="1:5" ht="15">
      <c r="A67" s="80" t="s">
        <v>186</v>
      </c>
      <c r="B67" s="82" t="s">
        <v>155</v>
      </c>
      <c r="C67" s="8"/>
      <c r="D67" s="8"/>
      <c r="E67" s="8"/>
    </row>
    <row r="68" spans="1:5" ht="15">
      <c r="A68" s="80" t="s">
        <v>187</v>
      </c>
      <c r="B68" s="82" t="s">
        <v>152</v>
      </c>
      <c r="C68" s="8"/>
      <c r="D68" s="8"/>
      <c r="E68" s="8"/>
    </row>
    <row r="69" spans="1:5" ht="15">
      <c r="A69" s="80" t="s">
        <v>188</v>
      </c>
      <c r="B69" s="81" t="s">
        <v>160</v>
      </c>
      <c r="C69" s="8"/>
      <c r="D69" s="8"/>
      <c r="E69" s="8"/>
    </row>
    <row r="70" spans="1:5" ht="15">
      <c r="A70" s="80" t="s">
        <v>189</v>
      </c>
      <c r="B70" s="82" t="s">
        <v>157</v>
      </c>
      <c r="C70" s="8"/>
      <c r="D70" s="8"/>
      <c r="E70" s="8"/>
    </row>
    <row r="71" spans="1:5" ht="15">
      <c r="A71" s="80" t="s">
        <v>190</v>
      </c>
      <c r="B71" s="82" t="s">
        <v>158</v>
      </c>
      <c r="C71" s="8"/>
      <c r="D71" s="8"/>
      <c r="E71" s="8"/>
    </row>
    <row r="72" spans="1:5" ht="15">
      <c r="A72" s="80" t="s">
        <v>191</v>
      </c>
      <c r="B72" s="81" t="s">
        <v>161</v>
      </c>
      <c r="C72" s="8"/>
      <c r="D72" s="8"/>
      <c r="E72" s="8"/>
    </row>
    <row r="73" spans="1:5" ht="15">
      <c r="A73" s="80" t="s">
        <v>192</v>
      </c>
      <c r="B73" s="82" t="s">
        <v>155</v>
      </c>
      <c r="C73" s="8"/>
      <c r="D73" s="8"/>
      <c r="E73" s="8"/>
    </row>
    <row r="74" spans="1:5" ht="15">
      <c r="A74" s="80" t="s">
        <v>193</v>
      </c>
      <c r="B74" s="82" t="s">
        <v>152</v>
      </c>
      <c r="C74" s="8"/>
      <c r="D74" s="8"/>
      <c r="E74" s="8"/>
    </row>
    <row r="75" spans="1:5" ht="15">
      <c r="A75" s="80" t="s">
        <v>194</v>
      </c>
      <c r="B75" s="81" t="s">
        <v>162</v>
      </c>
      <c r="C75" s="8"/>
      <c r="D75" s="8"/>
      <c r="E75" s="8"/>
    </row>
    <row r="76" spans="1:5" ht="15">
      <c r="A76" s="80" t="s">
        <v>195</v>
      </c>
      <c r="B76" s="82" t="s">
        <v>157</v>
      </c>
      <c r="C76" s="8"/>
      <c r="D76" s="8"/>
      <c r="E76" s="8"/>
    </row>
    <row r="77" spans="1:5" ht="15">
      <c r="A77" s="80" t="s">
        <v>196</v>
      </c>
      <c r="B77" s="82" t="s">
        <v>158</v>
      </c>
      <c r="C77" s="8"/>
      <c r="D77" s="8"/>
      <c r="E77" s="8"/>
    </row>
    <row r="78" spans="1:5" ht="15">
      <c r="A78" s="80" t="s">
        <v>197</v>
      </c>
      <c r="B78" s="81" t="s">
        <v>163</v>
      </c>
      <c r="C78" s="8"/>
      <c r="D78" s="8"/>
      <c r="E78" s="8"/>
    </row>
    <row r="79" spans="1:5" ht="15">
      <c r="A79" s="80" t="s">
        <v>198</v>
      </c>
      <c r="B79" s="82" t="s">
        <v>155</v>
      </c>
      <c r="C79" s="8"/>
      <c r="D79" s="8"/>
      <c r="E79" s="8"/>
    </row>
    <row r="80" spans="1:5" ht="15">
      <c r="A80" s="80" t="s">
        <v>199</v>
      </c>
      <c r="B80" s="82" t="s">
        <v>152</v>
      </c>
      <c r="C80" s="8"/>
      <c r="D80" s="8"/>
      <c r="E80" s="8"/>
    </row>
    <row r="81" spans="1:5" ht="15">
      <c r="A81" s="80" t="s">
        <v>200</v>
      </c>
      <c r="B81" s="81" t="s">
        <v>164</v>
      </c>
      <c r="C81" s="8"/>
      <c r="D81" s="8"/>
      <c r="E81" s="8"/>
    </row>
    <row r="82" spans="1:5" ht="15">
      <c r="A82" s="80" t="s">
        <v>201</v>
      </c>
      <c r="B82" s="82" t="s">
        <v>157</v>
      </c>
      <c r="C82" s="8"/>
      <c r="D82" s="8"/>
      <c r="E82" s="8"/>
    </row>
    <row r="83" spans="1:5" ht="15">
      <c r="A83" s="80" t="s">
        <v>202</v>
      </c>
      <c r="B83" s="82" t="s">
        <v>158</v>
      </c>
      <c r="C83" s="8"/>
      <c r="D83" s="8"/>
      <c r="E83" s="8"/>
    </row>
    <row r="85" spans="2:4" ht="21.75" customHeight="1">
      <c r="B85" s="398" t="s">
        <v>649</v>
      </c>
      <c r="D85" s="398" t="s">
        <v>648</v>
      </c>
    </row>
    <row r="86" spans="2:4" ht="15">
      <c r="B86" s="398"/>
      <c r="D86" s="398"/>
    </row>
    <row r="87" spans="2:4" ht="24.75" customHeight="1">
      <c r="B87" s="398" t="s">
        <v>644</v>
      </c>
      <c r="D87" s="398" t="s">
        <v>645</v>
      </c>
    </row>
  </sheetData>
  <sheetProtection/>
  <printOptions horizontalCentered="1"/>
  <pageMargins left="0.7086614173228347" right="0.7086614173228347" top="0.15748031496062992" bottom="0" header="0" footer="0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55" sqref="B55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2.140625" style="0" customWidth="1"/>
    <col min="4" max="4" width="25.7109375" style="0" customWidth="1"/>
    <col min="5" max="5" width="17.140625" style="0" customWidth="1"/>
    <col min="6" max="6" width="13.28125" style="0" customWidth="1"/>
    <col min="7" max="7" width="13.7109375" style="0" customWidth="1"/>
    <col min="8" max="8" width="17.8515625" style="0" customWidth="1"/>
  </cols>
  <sheetData>
    <row r="1" ht="15">
      <c r="H1" s="1" t="s">
        <v>446</v>
      </c>
    </row>
    <row r="2" spans="1:7" ht="15">
      <c r="A2" s="491" t="s">
        <v>415</v>
      </c>
      <c r="B2" s="491"/>
      <c r="C2" s="491"/>
      <c r="D2" s="491"/>
      <c r="E2" s="491"/>
      <c r="F2" s="495"/>
      <c r="G2" s="495"/>
    </row>
    <row r="3" spans="1:5" ht="15">
      <c r="A3" s="54"/>
      <c r="B3" s="54"/>
      <c r="C3" s="54"/>
      <c r="D3" s="54"/>
      <c r="E3" s="54"/>
    </row>
    <row r="4" spans="1:5" s="1" customFormat="1" ht="15">
      <c r="A4" s="62" t="s">
        <v>605</v>
      </c>
      <c r="B4" s="55"/>
      <c r="C4" s="55"/>
      <c r="D4" s="55"/>
      <c r="E4" s="1" t="s">
        <v>621</v>
      </c>
    </row>
    <row r="5" ht="15.75" thickBot="1">
      <c r="H5" s="1" t="s">
        <v>46</v>
      </c>
    </row>
    <row r="6" spans="1:8" s="1" customFormat="1" ht="15">
      <c r="A6" s="2"/>
      <c r="B6" s="5" t="s">
        <v>24</v>
      </c>
      <c r="C6" s="5"/>
      <c r="D6" s="5" t="s">
        <v>16</v>
      </c>
      <c r="E6" s="5" t="s">
        <v>32</v>
      </c>
      <c r="F6" s="5" t="s">
        <v>12</v>
      </c>
      <c r="G6" s="5" t="s">
        <v>35</v>
      </c>
      <c r="H6" s="5" t="s">
        <v>39</v>
      </c>
    </row>
    <row r="7" spans="1:8" s="1" customFormat="1" ht="15">
      <c r="A7" s="3" t="s">
        <v>23</v>
      </c>
      <c r="B7" s="11" t="s">
        <v>25</v>
      </c>
      <c r="C7" s="6" t="s">
        <v>26</v>
      </c>
      <c r="D7" s="11" t="s">
        <v>13</v>
      </c>
      <c r="E7" s="6" t="s">
        <v>33</v>
      </c>
      <c r="F7" s="6" t="s">
        <v>34</v>
      </c>
      <c r="G7" s="6" t="s">
        <v>36</v>
      </c>
      <c r="H7" s="6" t="s">
        <v>33</v>
      </c>
    </row>
    <row r="8" spans="1:8" s="1" customFormat="1" ht="30.75" thickBot="1">
      <c r="A8" s="4"/>
      <c r="B8" s="4"/>
      <c r="C8" s="4"/>
      <c r="D8" s="22" t="s">
        <v>14</v>
      </c>
      <c r="E8" s="22" t="s">
        <v>15</v>
      </c>
      <c r="F8" s="21" t="s">
        <v>97</v>
      </c>
      <c r="G8" s="4"/>
      <c r="H8" s="22" t="s">
        <v>37</v>
      </c>
    </row>
    <row r="9" spans="1:8" s="1" customFormat="1" ht="15">
      <c r="A9" s="274">
        <v>1</v>
      </c>
      <c r="B9" s="275" t="s">
        <v>606</v>
      </c>
      <c r="C9" s="276">
        <v>42034</v>
      </c>
      <c r="D9" s="9" t="s">
        <v>607</v>
      </c>
      <c r="E9" s="277">
        <v>13.08</v>
      </c>
      <c r="F9" s="274" t="s">
        <v>608</v>
      </c>
      <c r="G9" s="277">
        <f>H9/E9</f>
        <v>4.6899999999999995</v>
      </c>
      <c r="H9" s="278">
        <v>61.3452</v>
      </c>
    </row>
    <row r="10" spans="1:8" s="1" customFormat="1" ht="15">
      <c r="A10" s="274">
        <v>2</v>
      </c>
      <c r="B10" s="275" t="s">
        <v>609</v>
      </c>
      <c r="C10" s="276">
        <v>42062</v>
      </c>
      <c r="D10" s="9" t="s">
        <v>607</v>
      </c>
      <c r="E10" s="277">
        <v>9.16</v>
      </c>
      <c r="F10" s="274" t="s">
        <v>608</v>
      </c>
      <c r="G10" s="277">
        <f aca="true" t="shared" si="0" ref="G10:G20">H10/E10</f>
        <v>5.32</v>
      </c>
      <c r="H10" s="279">
        <v>48.7312</v>
      </c>
    </row>
    <row r="11" spans="1:8" s="1" customFormat="1" ht="15">
      <c r="A11" s="280">
        <v>3</v>
      </c>
      <c r="B11" s="281" t="s">
        <v>610</v>
      </c>
      <c r="C11" s="282">
        <v>42094</v>
      </c>
      <c r="D11" s="9" t="s">
        <v>607</v>
      </c>
      <c r="E11" s="283">
        <v>15.24</v>
      </c>
      <c r="F11" s="280" t="s">
        <v>608</v>
      </c>
      <c r="G11" s="277">
        <f t="shared" si="0"/>
        <v>5.09</v>
      </c>
      <c r="H11" s="267">
        <v>77.5716</v>
      </c>
    </row>
    <row r="12" spans="1:8" s="1" customFormat="1" ht="15">
      <c r="A12" s="280">
        <v>4</v>
      </c>
      <c r="B12" s="281" t="s">
        <v>611</v>
      </c>
      <c r="C12" s="282">
        <v>42124</v>
      </c>
      <c r="D12" s="9" t="s">
        <v>607</v>
      </c>
      <c r="E12" s="283">
        <v>8.76</v>
      </c>
      <c r="F12" s="280" t="s">
        <v>608</v>
      </c>
      <c r="G12" s="277">
        <f t="shared" si="0"/>
        <v>4.91</v>
      </c>
      <c r="H12" s="267">
        <v>43.0116</v>
      </c>
    </row>
    <row r="13" spans="1:8" s="1" customFormat="1" ht="15">
      <c r="A13" s="280">
        <v>5</v>
      </c>
      <c r="B13" s="281" t="s">
        <v>612</v>
      </c>
      <c r="C13" s="282">
        <v>42153</v>
      </c>
      <c r="D13" s="9" t="s">
        <v>607</v>
      </c>
      <c r="E13" s="283">
        <v>3</v>
      </c>
      <c r="F13" s="280" t="s">
        <v>608</v>
      </c>
      <c r="G13" s="277">
        <f t="shared" si="0"/>
        <v>4.45</v>
      </c>
      <c r="H13" s="267">
        <v>13.35</v>
      </c>
    </row>
    <row r="14" spans="1:8" s="1" customFormat="1" ht="15">
      <c r="A14" s="280">
        <v>6</v>
      </c>
      <c r="B14" s="281" t="s">
        <v>613</v>
      </c>
      <c r="C14" s="282">
        <v>42185</v>
      </c>
      <c r="D14" s="9" t="s">
        <v>607</v>
      </c>
      <c r="E14" s="283"/>
      <c r="F14" s="280"/>
      <c r="G14" s="277"/>
      <c r="H14" s="267"/>
    </row>
    <row r="15" spans="1:8" s="1" customFormat="1" ht="15">
      <c r="A15" s="280">
        <v>7</v>
      </c>
      <c r="B15" s="281" t="s">
        <v>614</v>
      </c>
      <c r="C15" s="282">
        <v>42216</v>
      </c>
      <c r="D15" s="9" t="s">
        <v>607</v>
      </c>
      <c r="E15" s="283"/>
      <c r="F15" s="280"/>
      <c r="G15" s="277"/>
      <c r="H15" s="267"/>
    </row>
    <row r="16" spans="1:8" s="1" customFormat="1" ht="15">
      <c r="A16" s="280">
        <v>8</v>
      </c>
      <c r="B16" s="281" t="s">
        <v>615</v>
      </c>
      <c r="C16" s="282">
        <v>42247</v>
      </c>
      <c r="D16" s="9" t="s">
        <v>607</v>
      </c>
      <c r="E16" s="283"/>
      <c r="F16" s="280"/>
      <c r="G16" s="277"/>
      <c r="H16" s="267"/>
    </row>
    <row r="17" spans="1:8" s="1" customFormat="1" ht="15">
      <c r="A17" s="280">
        <v>9</v>
      </c>
      <c r="B17" s="281" t="s">
        <v>616</v>
      </c>
      <c r="C17" s="282">
        <v>42277</v>
      </c>
      <c r="D17" s="9" t="s">
        <v>607</v>
      </c>
      <c r="E17" s="283">
        <v>2.491</v>
      </c>
      <c r="F17" s="280" t="s">
        <v>608</v>
      </c>
      <c r="G17" s="277">
        <f t="shared" si="0"/>
        <v>4.875002007226014</v>
      </c>
      <c r="H17" s="267">
        <v>12.14363</v>
      </c>
    </row>
    <row r="18" spans="1:8" s="1" customFormat="1" ht="15">
      <c r="A18" s="280">
        <v>10</v>
      </c>
      <c r="B18" s="281" t="s">
        <v>617</v>
      </c>
      <c r="C18" s="282">
        <v>42307</v>
      </c>
      <c r="D18" s="9" t="s">
        <v>607</v>
      </c>
      <c r="E18" s="283">
        <v>4.88</v>
      </c>
      <c r="F18" s="280" t="s">
        <v>608</v>
      </c>
      <c r="G18" s="277">
        <f t="shared" si="0"/>
        <v>4.677733606557377</v>
      </c>
      <c r="H18" s="267">
        <v>22.82734</v>
      </c>
    </row>
    <row r="19" spans="1:8" s="1" customFormat="1" ht="15">
      <c r="A19" s="280">
        <v>11</v>
      </c>
      <c r="B19" s="281" t="s">
        <v>618</v>
      </c>
      <c r="C19" s="282">
        <v>42338</v>
      </c>
      <c r="D19" s="9" t="s">
        <v>607</v>
      </c>
      <c r="E19" s="283">
        <v>4.68</v>
      </c>
      <c r="F19" s="280" t="s">
        <v>608</v>
      </c>
      <c r="G19" s="277">
        <f t="shared" si="0"/>
        <v>4.913</v>
      </c>
      <c r="H19" s="267">
        <v>22.99284</v>
      </c>
    </row>
    <row r="20" spans="1:8" s="1" customFormat="1" ht="15">
      <c r="A20" s="280">
        <v>12</v>
      </c>
      <c r="B20" s="281" t="s">
        <v>619</v>
      </c>
      <c r="C20" s="282">
        <v>42369</v>
      </c>
      <c r="D20" s="9" t="s">
        <v>607</v>
      </c>
      <c r="E20" s="283">
        <v>15.181</v>
      </c>
      <c r="F20" s="280" t="s">
        <v>608</v>
      </c>
      <c r="G20" s="277">
        <f t="shared" si="0"/>
        <v>4.631200184441078</v>
      </c>
      <c r="H20" s="267">
        <v>70.30625</v>
      </c>
    </row>
    <row r="21" spans="1:8" s="1" customFormat="1" ht="15">
      <c r="A21" s="280"/>
      <c r="B21" s="8" t="s">
        <v>115</v>
      </c>
      <c r="C21" s="8"/>
      <c r="D21" s="8"/>
      <c r="E21" s="284">
        <f>SUM(E9:E20)</f>
        <v>76.47200000000001</v>
      </c>
      <c r="F21" s="280"/>
      <c r="G21" s="283"/>
      <c r="H21" s="267">
        <f>SUM(H9:H20)</f>
        <v>372.27966000000004</v>
      </c>
    </row>
    <row r="22" spans="1:8" s="1" customFormat="1" ht="15">
      <c r="A22" s="285"/>
      <c r="B22" s="13"/>
      <c r="C22" s="13"/>
      <c r="D22" s="13"/>
      <c r="E22" s="13"/>
      <c r="F22" s="285"/>
      <c r="G22" s="285"/>
      <c r="H22" s="13"/>
    </row>
    <row r="23" spans="1:7" s="1" customFormat="1" ht="15">
      <c r="A23" s="286" t="s">
        <v>113</v>
      </c>
      <c r="E23" s="287">
        <f>H21/E21</f>
        <v>4.868182602782718</v>
      </c>
      <c r="F23" s="19"/>
      <c r="G23" s="19"/>
    </row>
    <row r="24" s="1" customFormat="1" ht="15"/>
    <row r="25" s="1" customFormat="1" ht="15"/>
    <row r="26" s="1" customFormat="1" ht="16.5" customHeight="1"/>
    <row r="27" spans="1:7" s="398" customFormat="1" ht="16.5" customHeight="1">
      <c r="A27" s="398" t="s">
        <v>647</v>
      </c>
      <c r="G27" s="398" t="s">
        <v>648</v>
      </c>
    </row>
    <row r="28" s="398" customFormat="1" ht="15"/>
    <row r="29" spans="1:7" s="398" customFormat="1" ht="15">
      <c r="A29" s="398" t="s">
        <v>644</v>
      </c>
      <c r="G29" s="398" t="s">
        <v>645</v>
      </c>
    </row>
    <row r="30" s="398" customFormat="1" ht="15"/>
    <row r="31" s="398" customFormat="1" ht="15"/>
    <row r="32" s="398" customFormat="1" ht="15"/>
    <row r="33" s="398" customFormat="1" ht="15"/>
    <row r="34" spans="1:5" s="1" customFormat="1" ht="15">
      <c r="A34" s="62" t="s">
        <v>605</v>
      </c>
      <c r="E34" s="1" t="s">
        <v>595</v>
      </c>
    </row>
    <row r="35" spans="1:8" s="1" customFormat="1" ht="15.75" thickBot="1">
      <c r="A35" s="55"/>
      <c r="B35"/>
      <c r="C35"/>
      <c r="D35"/>
      <c r="E35"/>
      <c r="F35" s="55"/>
      <c r="G35" s="55"/>
      <c r="H35" s="1" t="s">
        <v>46</v>
      </c>
    </row>
    <row r="36" spans="1:8" s="1" customFormat="1" ht="15">
      <c r="A36" s="5"/>
      <c r="B36" s="5" t="s">
        <v>24</v>
      </c>
      <c r="C36" s="5"/>
      <c r="D36" s="5" t="s">
        <v>16</v>
      </c>
      <c r="E36" s="5" t="s">
        <v>32</v>
      </c>
      <c r="F36" s="5" t="s">
        <v>12</v>
      </c>
      <c r="G36" s="5" t="s">
        <v>35</v>
      </c>
      <c r="H36" s="5" t="s">
        <v>39</v>
      </c>
    </row>
    <row r="37" spans="1:8" ht="15">
      <c r="A37" s="6" t="s">
        <v>23</v>
      </c>
      <c r="B37" s="11" t="s">
        <v>25</v>
      </c>
      <c r="C37" s="6" t="s">
        <v>26</v>
      </c>
      <c r="D37" s="11" t="s">
        <v>13</v>
      </c>
      <c r="E37" s="6" t="s">
        <v>33</v>
      </c>
      <c r="F37" s="6" t="s">
        <v>34</v>
      </c>
      <c r="G37" s="6" t="s">
        <v>36</v>
      </c>
      <c r="H37" s="6" t="s">
        <v>33</v>
      </c>
    </row>
    <row r="38" spans="1:8" ht="30.75" thickBot="1">
      <c r="A38" s="7"/>
      <c r="B38" s="4"/>
      <c r="C38" s="4"/>
      <c r="D38" s="22" t="s">
        <v>14</v>
      </c>
      <c r="E38" s="22" t="s">
        <v>15</v>
      </c>
      <c r="F38" s="21" t="s">
        <v>97</v>
      </c>
      <c r="G38" s="7"/>
      <c r="H38" s="22" t="s">
        <v>37</v>
      </c>
    </row>
    <row r="39" spans="1:8" ht="15">
      <c r="A39" s="274">
        <v>1</v>
      </c>
      <c r="B39" s="275" t="s">
        <v>606</v>
      </c>
      <c r="C39" s="276">
        <v>42034</v>
      </c>
      <c r="D39" s="9" t="s">
        <v>607</v>
      </c>
      <c r="E39" s="277">
        <v>6.39</v>
      </c>
      <c r="F39" s="274" t="s">
        <v>608</v>
      </c>
      <c r="G39" s="277">
        <f>H39/E39</f>
        <v>4.704909233176839</v>
      </c>
      <c r="H39" s="278">
        <v>30.06437</v>
      </c>
    </row>
    <row r="40" spans="1:8" ht="15">
      <c r="A40" s="274">
        <f>A39+1</f>
        <v>2</v>
      </c>
      <c r="B40" s="275" t="s">
        <v>609</v>
      </c>
      <c r="C40" s="276">
        <v>42063</v>
      </c>
      <c r="D40" s="9" t="s">
        <v>607</v>
      </c>
      <c r="E40" s="277">
        <v>6.71</v>
      </c>
      <c r="F40" s="274" t="s">
        <v>608</v>
      </c>
      <c r="G40" s="277">
        <f aca="true" t="shared" si="1" ref="G40:G51">H40/E40</f>
        <v>5.32</v>
      </c>
      <c r="H40" s="279">
        <v>35.6972</v>
      </c>
    </row>
    <row r="41" spans="1:8" ht="15">
      <c r="A41" s="274">
        <f aca="true" t="shared" si="2" ref="A41:A51">A40+1</f>
        <v>3</v>
      </c>
      <c r="B41" s="275" t="s">
        <v>620</v>
      </c>
      <c r="C41" s="276">
        <v>42081</v>
      </c>
      <c r="D41" s="9" t="s">
        <v>607</v>
      </c>
      <c r="E41" s="277"/>
      <c r="F41" s="274"/>
      <c r="G41" s="277"/>
      <c r="H41" s="279">
        <v>-9.8006</v>
      </c>
    </row>
    <row r="42" spans="1:8" ht="15">
      <c r="A42" s="274">
        <f t="shared" si="2"/>
        <v>4</v>
      </c>
      <c r="B42" s="281" t="s">
        <v>610</v>
      </c>
      <c r="C42" s="282">
        <v>42094</v>
      </c>
      <c r="D42" s="9" t="s">
        <v>607</v>
      </c>
      <c r="E42" s="283">
        <v>4.46</v>
      </c>
      <c r="F42" s="280" t="s">
        <v>608</v>
      </c>
      <c r="G42" s="277">
        <f t="shared" si="1"/>
        <v>5.09</v>
      </c>
      <c r="H42" s="267">
        <v>22.7014</v>
      </c>
    </row>
    <row r="43" spans="1:8" ht="15">
      <c r="A43" s="274">
        <f t="shared" si="2"/>
        <v>5</v>
      </c>
      <c r="B43" s="281" t="s">
        <v>611</v>
      </c>
      <c r="C43" s="282">
        <v>42124</v>
      </c>
      <c r="D43" s="9" t="s">
        <v>607</v>
      </c>
      <c r="E43" s="283">
        <v>5.9997</v>
      </c>
      <c r="F43" s="280" t="s">
        <v>608</v>
      </c>
      <c r="G43" s="277">
        <f t="shared" si="1"/>
        <v>5.09000783372502</v>
      </c>
      <c r="H43" s="267">
        <v>30.53852</v>
      </c>
    </row>
    <row r="44" spans="1:8" ht="15">
      <c r="A44" s="274">
        <f t="shared" si="2"/>
        <v>6</v>
      </c>
      <c r="B44" s="281" t="s">
        <v>612</v>
      </c>
      <c r="C44" s="282">
        <v>42153</v>
      </c>
      <c r="D44" s="9" t="s">
        <v>607</v>
      </c>
      <c r="E44" s="283">
        <v>15.867</v>
      </c>
      <c r="F44" s="280" t="s">
        <v>608</v>
      </c>
      <c r="G44" s="277">
        <f t="shared" si="1"/>
        <v>4.449999999999999</v>
      </c>
      <c r="H44" s="267">
        <v>70.60815</v>
      </c>
    </row>
    <row r="45" spans="1:8" ht="15">
      <c r="A45" s="274">
        <f t="shared" si="2"/>
        <v>7</v>
      </c>
      <c r="B45" s="281" t="s">
        <v>613</v>
      </c>
      <c r="C45" s="282">
        <v>42185</v>
      </c>
      <c r="D45" s="9" t="s">
        <v>607</v>
      </c>
      <c r="E45" s="283">
        <v>14.5096</v>
      </c>
      <c r="F45" s="280" t="s">
        <v>608</v>
      </c>
      <c r="G45" s="277">
        <f t="shared" si="1"/>
        <v>4.119993659370348</v>
      </c>
      <c r="H45" s="267">
        <v>59.77946</v>
      </c>
    </row>
    <row r="46" spans="1:8" ht="15">
      <c r="A46" s="274">
        <f t="shared" si="2"/>
        <v>8</v>
      </c>
      <c r="B46" s="281" t="s">
        <v>614</v>
      </c>
      <c r="C46" s="282">
        <v>42216</v>
      </c>
      <c r="D46" s="9" t="s">
        <v>607</v>
      </c>
      <c r="E46" s="283">
        <v>17.391</v>
      </c>
      <c r="F46" s="280" t="s">
        <v>608</v>
      </c>
      <c r="G46" s="277">
        <f t="shared" si="1"/>
        <v>4.741437525156691</v>
      </c>
      <c r="H46" s="267">
        <v>82.45834</v>
      </c>
    </row>
    <row r="47" spans="1:8" ht="15">
      <c r="A47" s="274">
        <f t="shared" si="2"/>
        <v>9</v>
      </c>
      <c r="B47" s="281" t="s">
        <v>615</v>
      </c>
      <c r="C47" s="282">
        <v>42247</v>
      </c>
      <c r="D47" s="9" t="s">
        <v>607</v>
      </c>
      <c r="E47" s="283">
        <v>11.469</v>
      </c>
      <c r="F47" s="280" t="s">
        <v>608</v>
      </c>
      <c r="G47" s="277">
        <f t="shared" si="1"/>
        <v>4.72996948295405</v>
      </c>
      <c r="H47" s="267">
        <v>54.24802</v>
      </c>
    </row>
    <row r="48" spans="1:8" ht="15">
      <c r="A48" s="274">
        <f t="shared" si="2"/>
        <v>10</v>
      </c>
      <c r="B48" s="281" t="s">
        <v>616</v>
      </c>
      <c r="C48" s="282">
        <v>42277</v>
      </c>
      <c r="D48" s="9" t="s">
        <v>607</v>
      </c>
      <c r="E48" s="283">
        <v>8.338</v>
      </c>
      <c r="F48" s="280" t="s">
        <v>608</v>
      </c>
      <c r="G48" s="277">
        <f t="shared" si="1"/>
        <v>4.875002398656753</v>
      </c>
      <c r="H48" s="267">
        <v>40.64777</v>
      </c>
    </row>
    <row r="49" spans="1:8" ht="15">
      <c r="A49" s="274">
        <f t="shared" si="2"/>
        <v>11</v>
      </c>
      <c r="B49" s="281" t="s">
        <v>617</v>
      </c>
      <c r="C49" s="282">
        <v>42307</v>
      </c>
      <c r="D49" s="9" t="s">
        <v>607</v>
      </c>
      <c r="E49" s="283">
        <v>5.8</v>
      </c>
      <c r="F49" s="280" t="s">
        <v>608</v>
      </c>
      <c r="G49" s="277">
        <f t="shared" si="1"/>
        <v>4.583448275862069</v>
      </c>
      <c r="H49" s="267">
        <v>26.584</v>
      </c>
    </row>
    <row r="50" spans="1:8" ht="15">
      <c r="A50" s="274">
        <f t="shared" si="2"/>
        <v>12</v>
      </c>
      <c r="B50" s="281" t="s">
        <v>618</v>
      </c>
      <c r="C50" s="282">
        <v>42338</v>
      </c>
      <c r="D50" s="9" t="s">
        <v>607</v>
      </c>
      <c r="E50" s="283">
        <v>3.838</v>
      </c>
      <c r="F50" s="280" t="s">
        <v>608</v>
      </c>
      <c r="G50" s="277">
        <f t="shared" si="1"/>
        <v>4.913705054715997</v>
      </c>
      <c r="H50" s="267">
        <v>18.8588</v>
      </c>
    </row>
    <row r="51" spans="1:8" ht="15">
      <c r="A51" s="274">
        <f t="shared" si="2"/>
        <v>13</v>
      </c>
      <c r="B51" s="281" t="s">
        <v>619</v>
      </c>
      <c r="C51" s="282">
        <v>42369</v>
      </c>
      <c r="D51" s="9" t="s">
        <v>607</v>
      </c>
      <c r="E51" s="283">
        <v>5.41</v>
      </c>
      <c r="F51" s="280" t="s">
        <v>608</v>
      </c>
      <c r="G51" s="277">
        <f t="shared" si="1"/>
        <v>4.63</v>
      </c>
      <c r="H51" s="267">
        <v>25.0483</v>
      </c>
    </row>
    <row r="52" spans="1:8" ht="15">
      <c r="A52" s="280"/>
      <c r="B52" s="8" t="s">
        <v>115</v>
      </c>
      <c r="C52" s="8"/>
      <c r="D52" s="8"/>
      <c r="E52" s="283">
        <f>SUM(E39:E51)</f>
        <v>106.18229999999997</v>
      </c>
      <c r="F52" s="280"/>
      <c r="G52" s="283"/>
      <c r="H52" s="267">
        <f>SUM(H39:H51)</f>
        <v>487.43372999999997</v>
      </c>
    </row>
    <row r="53" spans="1:8" ht="15">
      <c r="A53" s="285"/>
      <c r="B53" s="13"/>
      <c r="C53" s="13"/>
      <c r="D53" s="13"/>
      <c r="E53" s="13"/>
      <c r="F53" s="285"/>
      <c r="G53" s="285"/>
      <c r="H53" s="13"/>
    </row>
    <row r="54" spans="1:8" ht="15">
      <c r="A54" s="286" t="s">
        <v>113</v>
      </c>
      <c r="B54" s="1"/>
      <c r="C54" s="1"/>
      <c r="D54" s="1"/>
      <c r="E54" s="287">
        <f>H52/E52</f>
        <v>4.590536558352947</v>
      </c>
      <c r="F54" s="19"/>
      <c r="G54" s="19"/>
      <c r="H54" s="1"/>
    </row>
    <row r="55" spans="1:8" ht="15">
      <c r="A55" s="286"/>
      <c r="B55" s="1"/>
      <c r="C55" s="1"/>
      <c r="D55" s="1"/>
      <c r="E55" s="422"/>
      <c r="F55" s="19"/>
      <c r="G55" s="19"/>
      <c r="H55" s="1"/>
    </row>
    <row r="56" spans="1:8" ht="15">
      <c r="A56" s="286"/>
      <c r="B56" s="1"/>
      <c r="C56" s="1"/>
      <c r="D56" s="1"/>
      <c r="E56" s="422"/>
      <c r="F56" s="19"/>
      <c r="G56" s="19"/>
      <c r="H56" s="1"/>
    </row>
    <row r="57" spans="1:8" ht="15">
      <c r="A57" s="286"/>
      <c r="B57" s="1"/>
      <c r="C57" s="1"/>
      <c r="D57" s="1"/>
      <c r="E57" s="422"/>
      <c r="F57" s="19"/>
      <c r="G57" s="19"/>
      <c r="H57" s="1"/>
    </row>
    <row r="59" spans="1:7" s="398" customFormat="1" ht="16.5" customHeight="1">
      <c r="A59" s="398" t="s">
        <v>647</v>
      </c>
      <c r="G59" s="398" t="s">
        <v>648</v>
      </c>
    </row>
    <row r="60" s="398" customFormat="1" ht="15"/>
    <row r="61" spans="1:7" s="398" customFormat="1" ht="22.5" customHeight="1">
      <c r="A61" s="398" t="s">
        <v>644</v>
      </c>
      <c r="G61" s="398" t="s">
        <v>645</v>
      </c>
    </row>
  </sheetData>
  <sheetProtection/>
  <mergeCells count="1">
    <mergeCell ref="A2:G2"/>
  </mergeCells>
  <printOptions horizontalCentered="1"/>
  <pageMargins left="0.5118110236220472" right="0" top="0.35433070866141736" bottom="0.15748031496062992" header="0" footer="0"/>
  <pageSetup horizontalDpi="600" verticalDpi="600" orientation="portrait" paperSize="9" scale="7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Фишбух</dc:creator>
  <cp:keywords/>
  <dc:description/>
  <cp:lastModifiedBy>Арина</cp:lastModifiedBy>
  <cp:lastPrinted>2016-03-11T04:34:27Z</cp:lastPrinted>
  <dcterms:created xsi:type="dcterms:W3CDTF">2013-01-21T06:39:01Z</dcterms:created>
  <dcterms:modified xsi:type="dcterms:W3CDTF">2016-03-22T08:01:43Z</dcterms:modified>
  <cp:category/>
  <cp:version/>
  <cp:contentType/>
  <cp:contentStatus/>
</cp:coreProperties>
</file>